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dfordtx-my.sharepoint.com/personal/megan_jakubik_bedfordtx_gov/Documents/GFOAT Presentations/Budget Academy/Jan 2024/"/>
    </mc:Choice>
  </mc:AlternateContent>
  <xr:revisionPtr revIDLastSave="159" documentId="8_{64B62C06-ACF5-44CA-BB06-CAE268C6CBE3}" xr6:coauthVersionLast="47" xr6:coauthVersionMax="47" xr10:uidLastSave="{1DD66E40-52F0-4EF5-8371-E8F5092F82D4}"/>
  <bookViews>
    <workbookView xWindow="-110" yWindow="-110" windowWidth="19420" windowHeight="10560" tabRatio="734" firstSheet="1" activeTab="8" xr2:uid="{00000000-000D-0000-FFFF-FFFF00000000}"/>
  </bookViews>
  <sheets>
    <sheet name="Position Control" sheetId="1" r:id="rId1"/>
    <sheet name="STEP" sheetId="2" r:id="rId2"/>
    <sheet name="WRK COMP" sheetId="3" r:id="rId3"/>
    <sheet name="HRS" sheetId="4" r:id="rId4"/>
    <sheet name="BENE" sheetId="5" r:id="rId5"/>
    <sheet name="PD SB" sheetId="6" r:id="rId6"/>
    <sheet name="RHS-GASB" sheetId="9" r:id="rId7"/>
    <sheet name="SUMMARY" sheetId="8" r:id="rId8"/>
    <sheet name="DIVISION BUDGETS" sheetId="7" r:id="rId9"/>
  </sheets>
  <definedNames>
    <definedName name="_xlnm.Print_Area" localSheetId="7">SUMMARY!$A$1:$AF$30</definedName>
    <definedName name="_xlnm.Print_Titles" localSheetId="7">SUMMARY!$A:$A,SUMMARY!$1:$2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240" i="1" l="1"/>
  <c r="BD241" i="1"/>
  <c r="BD192" i="1"/>
  <c r="BD193" i="1"/>
  <c r="BD174" i="1"/>
  <c r="BD175" i="1"/>
  <c r="BD176" i="1"/>
  <c r="BD177" i="1"/>
  <c r="BD178" i="1"/>
  <c r="BD179" i="1"/>
  <c r="BD180" i="1"/>
  <c r="BD181" i="1"/>
  <c r="BD153" i="1"/>
  <c r="BD154" i="1"/>
  <c r="BD155" i="1"/>
  <c r="BD156" i="1"/>
  <c r="BD157" i="1"/>
  <c r="BD158" i="1"/>
  <c r="BD159" i="1"/>
  <c r="BD160" i="1"/>
  <c r="BD161" i="1"/>
  <c r="BD162" i="1"/>
  <c r="BD135" i="1"/>
  <c r="BD136" i="1"/>
  <c r="BD137" i="1"/>
  <c r="BD138" i="1"/>
  <c r="BD139" i="1"/>
  <c r="BD140" i="1"/>
  <c r="BD141" i="1"/>
  <c r="BD142" i="1"/>
  <c r="BD134" i="1"/>
  <c r="BD123" i="1"/>
  <c r="BD124" i="1"/>
  <c r="BD125" i="1"/>
  <c r="BD126" i="1"/>
  <c r="BD127" i="1"/>
  <c r="BD128" i="1"/>
  <c r="BD99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75" i="1"/>
  <c r="BD74" i="1"/>
  <c r="BD60" i="1"/>
  <c r="L54" i="1"/>
  <c r="BA54" i="1" s="1"/>
  <c r="S54" i="1"/>
  <c r="BD54" i="1" s="1"/>
  <c r="T54" i="1"/>
  <c r="BP54" i="1" s="1"/>
  <c r="AA54" i="1"/>
  <c r="AM54" i="1"/>
  <c r="BF54" i="1" s="1"/>
  <c r="AP54" i="1"/>
  <c r="AQ54" i="1"/>
  <c r="AR54" i="1"/>
  <c r="AT54" i="1"/>
  <c r="AU54" i="1"/>
  <c r="AW54" i="1"/>
  <c r="AX54" i="1"/>
  <c r="BE54" i="1"/>
  <c r="BG54" i="1"/>
  <c r="BH54" i="1"/>
  <c r="BI54" i="1"/>
  <c r="BJ54" i="1"/>
  <c r="S4" i="1"/>
  <c r="BB54" i="1" l="1"/>
  <c r="AO54" i="1"/>
  <c r="X57" i="1" a="1"/>
  <c r="X57" i="1" s="1"/>
  <c r="AZ54" i="1" l="1"/>
  <c r="AY54" i="1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AF53" i="8"/>
  <c r="AF52" i="8"/>
  <c r="AF51" i="8"/>
  <c r="AF50" i="8"/>
  <c r="AF49" i="8"/>
  <c r="C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BJ137" i="1"/>
  <c r="BI137" i="1"/>
  <c r="BG137" i="1"/>
  <c r="AW137" i="1"/>
  <c r="AU137" i="1"/>
  <c r="AT137" i="1"/>
  <c r="AR137" i="1"/>
  <c r="AQ137" i="1"/>
  <c r="AP137" i="1"/>
  <c r="AM137" i="1"/>
  <c r="BF137" i="1" s="1"/>
  <c r="AA137" i="1"/>
  <c r="X137" i="1" a="1"/>
  <c r="X137" i="1" s="1"/>
  <c r="T137" i="1"/>
  <c r="BP137" i="1" s="1"/>
  <c r="S137" i="1"/>
  <c r="L137" i="1"/>
  <c r="BA137" i="1" s="1"/>
  <c r="X92" i="1" a="1"/>
  <c r="X92" i="1" s="1"/>
  <c r="BC54" i="1" l="1"/>
  <c r="AN54" i="1"/>
  <c r="AF54" i="8"/>
  <c r="Y137" i="1"/>
  <c r="W137" i="1" s="1"/>
  <c r="BE137" i="1" s="1"/>
  <c r="AU261" i="1"/>
  <c r="AU262" i="1"/>
  <c r="AU263" i="1"/>
  <c r="AU264" i="1"/>
  <c r="AU260" i="1"/>
  <c r="AU253" i="1"/>
  <c r="AU254" i="1"/>
  <c r="AU255" i="1"/>
  <c r="AU256" i="1"/>
  <c r="AU257" i="1"/>
  <c r="AU258" i="1"/>
  <c r="AU252" i="1"/>
  <c r="AU246" i="1"/>
  <c r="AU247" i="1"/>
  <c r="AU248" i="1"/>
  <c r="AU249" i="1"/>
  <c r="AU250" i="1"/>
  <c r="AU245" i="1"/>
  <c r="AU236" i="1"/>
  <c r="AU237" i="1"/>
  <c r="AU238" i="1"/>
  <c r="AU239" i="1"/>
  <c r="AU240" i="1"/>
  <c r="AU241" i="1"/>
  <c r="AU242" i="1"/>
  <c r="AU243" i="1"/>
  <c r="AU235" i="1"/>
  <c r="AU230" i="1"/>
  <c r="AU231" i="1"/>
  <c r="AU232" i="1"/>
  <c r="AU233" i="1"/>
  <c r="AU229" i="1"/>
  <c r="AU224" i="1"/>
  <c r="AU225" i="1"/>
  <c r="AU226" i="1"/>
  <c r="AU227" i="1"/>
  <c r="AU223" i="1"/>
  <c r="AU214" i="1"/>
  <c r="AU215" i="1"/>
  <c r="AU216" i="1"/>
  <c r="AU217" i="1"/>
  <c r="AU218" i="1"/>
  <c r="AU219" i="1"/>
  <c r="AU220" i="1"/>
  <c r="AU221" i="1"/>
  <c r="AU213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188" i="1"/>
  <c r="AU174" i="1"/>
  <c r="AU175" i="1"/>
  <c r="AU176" i="1"/>
  <c r="AU177" i="1"/>
  <c r="AU178" i="1"/>
  <c r="AU179" i="1"/>
  <c r="AU180" i="1"/>
  <c r="AU181" i="1"/>
  <c r="AU185" i="1"/>
  <c r="AU182" i="1"/>
  <c r="AU183" i="1"/>
  <c r="AU184" i="1"/>
  <c r="AU186" i="1"/>
  <c r="AU173" i="1"/>
  <c r="AU135" i="1"/>
  <c r="AU136" i="1"/>
  <c r="AU138" i="1"/>
  <c r="AU139" i="1"/>
  <c r="AU140" i="1"/>
  <c r="AU141" i="1"/>
  <c r="AU142" i="1"/>
  <c r="AU143" i="1"/>
  <c r="AU145" i="1"/>
  <c r="AU144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8" i="1"/>
  <c r="AU169" i="1"/>
  <c r="AU170" i="1"/>
  <c r="AU166" i="1"/>
  <c r="AU167" i="1"/>
  <c r="AU171" i="1"/>
  <c r="AU134" i="1"/>
  <c r="AU123" i="1"/>
  <c r="AU124" i="1"/>
  <c r="AU125" i="1"/>
  <c r="AU126" i="1"/>
  <c r="AU127" i="1"/>
  <c r="AU128" i="1"/>
  <c r="AU129" i="1"/>
  <c r="AU130" i="1"/>
  <c r="AU131" i="1"/>
  <c r="AU132" i="1"/>
  <c r="AU122" i="1"/>
  <c r="AU75" i="1"/>
  <c r="AU76" i="1"/>
  <c r="AU77" i="1"/>
  <c r="AU78" i="1"/>
  <c r="AU79" i="1"/>
  <c r="AU80" i="1"/>
  <c r="AU81" i="1"/>
  <c r="AU82" i="1"/>
  <c r="AU83" i="1"/>
  <c r="AU84" i="1"/>
  <c r="AU85" i="1"/>
  <c r="AU90" i="1"/>
  <c r="AU91" i="1"/>
  <c r="AU86" i="1"/>
  <c r="AU87" i="1"/>
  <c r="AU88" i="1"/>
  <c r="AU89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74" i="1"/>
  <c r="AU64" i="1"/>
  <c r="AU65" i="1"/>
  <c r="AU66" i="1"/>
  <c r="AU67" i="1"/>
  <c r="AU68" i="1"/>
  <c r="AU69" i="1"/>
  <c r="AU70" i="1"/>
  <c r="AU71" i="1"/>
  <c r="AU72" i="1"/>
  <c r="AU63" i="1"/>
  <c r="AU57" i="1"/>
  <c r="AU58" i="1"/>
  <c r="AU59" i="1"/>
  <c r="AU60" i="1"/>
  <c r="AU61" i="1"/>
  <c r="AU56" i="1"/>
  <c r="AU48" i="1"/>
  <c r="AU49" i="1"/>
  <c r="AU51" i="1"/>
  <c r="AU52" i="1"/>
  <c r="AU50" i="1"/>
  <c r="AU53" i="1"/>
  <c r="AU47" i="1"/>
  <c r="AU36" i="1"/>
  <c r="AU37" i="1"/>
  <c r="AU39" i="1"/>
  <c r="AU40" i="1"/>
  <c r="AU41" i="1"/>
  <c r="AU42" i="1"/>
  <c r="AU43" i="1"/>
  <c r="AU44" i="1"/>
  <c r="AU38" i="1"/>
  <c r="AU45" i="1"/>
  <c r="AU35" i="1"/>
  <c r="AU32" i="1"/>
  <c r="AU33" i="1"/>
  <c r="AU31" i="1"/>
  <c r="AU28" i="1"/>
  <c r="AU29" i="1"/>
  <c r="AU27" i="1"/>
  <c r="AU20" i="1"/>
  <c r="AU21" i="1"/>
  <c r="AU22" i="1"/>
  <c r="AU23" i="1"/>
  <c r="AU24" i="1"/>
  <c r="AU25" i="1"/>
  <c r="AU19" i="1"/>
  <c r="AU14" i="1"/>
  <c r="AU15" i="1"/>
  <c r="AU16" i="1"/>
  <c r="AU17" i="1"/>
  <c r="AU13" i="1"/>
  <c r="AU10" i="1"/>
  <c r="AU11" i="1"/>
  <c r="AU9" i="1"/>
  <c r="AU4" i="1"/>
  <c r="AU5" i="1"/>
  <c r="AU6" i="1"/>
  <c r="AU7" i="1"/>
  <c r="BL54" i="1" l="1"/>
  <c r="BK54" i="1"/>
  <c r="BM54" i="1"/>
  <c r="BN54" i="1"/>
  <c r="BO54" i="1"/>
  <c r="AO137" i="1"/>
  <c r="AU34" i="1"/>
  <c r="S261" i="1"/>
  <c r="S262" i="1"/>
  <c r="S263" i="1"/>
  <c r="S264" i="1"/>
  <c r="S260" i="1"/>
  <c r="S253" i="1"/>
  <c r="BD253" i="1" s="1"/>
  <c r="S254" i="1"/>
  <c r="S255" i="1"/>
  <c r="S256" i="1"/>
  <c r="S257" i="1"/>
  <c r="S258" i="1"/>
  <c r="S252" i="1"/>
  <c r="BD252" i="1" s="1"/>
  <c r="S246" i="1"/>
  <c r="S247" i="1"/>
  <c r="S248" i="1"/>
  <c r="S249" i="1"/>
  <c r="S250" i="1"/>
  <c r="S245" i="1"/>
  <c r="S236" i="1"/>
  <c r="S237" i="1"/>
  <c r="S238" i="1"/>
  <c r="S239" i="1"/>
  <c r="S240" i="1"/>
  <c r="S241" i="1"/>
  <c r="S242" i="1"/>
  <c r="S243" i="1"/>
  <c r="S235" i="1"/>
  <c r="S230" i="1"/>
  <c r="S231" i="1"/>
  <c r="S232" i="1"/>
  <c r="S233" i="1"/>
  <c r="S229" i="1"/>
  <c r="S224" i="1"/>
  <c r="S225" i="1"/>
  <c r="S226" i="1"/>
  <c r="S227" i="1"/>
  <c r="S223" i="1"/>
  <c r="S214" i="1"/>
  <c r="S215" i="1"/>
  <c r="S216" i="1"/>
  <c r="S217" i="1"/>
  <c r="S218" i="1"/>
  <c r="S219" i="1"/>
  <c r="S220" i="1"/>
  <c r="S221" i="1"/>
  <c r="S213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188" i="1"/>
  <c r="S174" i="1"/>
  <c r="S175" i="1"/>
  <c r="S176" i="1"/>
  <c r="S177" i="1"/>
  <c r="S178" i="1"/>
  <c r="S179" i="1"/>
  <c r="S180" i="1"/>
  <c r="S181" i="1"/>
  <c r="S185" i="1"/>
  <c r="S182" i="1"/>
  <c r="S183" i="1"/>
  <c r="S184" i="1"/>
  <c r="S186" i="1"/>
  <c r="S173" i="1"/>
  <c r="S135" i="1"/>
  <c r="S136" i="1"/>
  <c r="S138" i="1"/>
  <c r="S139" i="1"/>
  <c r="S140" i="1"/>
  <c r="S141" i="1"/>
  <c r="S142" i="1"/>
  <c r="S143" i="1"/>
  <c r="S145" i="1"/>
  <c r="S144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8" i="1"/>
  <c r="S169" i="1"/>
  <c r="S170" i="1"/>
  <c r="S166" i="1"/>
  <c r="S167" i="1"/>
  <c r="S171" i="1"/>
  <c r="S134" i="1"/>
  <c r="S123" i="1"/>
  <c r="S124" i="1"/>
  <c r="S125" i="1"/>
  <c r="S126" i="1"/>
  <c r="S127" i="1"/>
  <c r="S128" i="1"/>
  <c r="S129" i="1"/>
  <c r="S130" i="1"/>
  <c r="S131" i="1"/>
  <c r="S132" i="1"/>
  <c r="S122" i="1"/>
  <c r="S75" i="1"/>
  <c r="S76" i="1"/>
  <c r="S77" i="1"/>
  <c r="S78" i="1"/>
  <c r="S79" i="1"/>
  <c r="S80" i="1"/>
  <c r="S81" i="1"/>
  <c r="S82" i="1"/>
  <c r="S83" i="1"/>
  <c r="S84" i="1"/>
  <c r="S85" i="1"/>
  <c r="S90" i="1"/>
  <c r="S91" i="1"/>
  <c r="S86" i="1"/>
  <c r="S87" i="1"/>
  <c r="S88" i="1"/>
  <c r="S89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74" i="1"/>
  <c r="S64" i="1"/>
  <c r="S65" i="1"/>
  <c r="S66" i="1"/>
  <c r="S67" i="1"/>
  <c r="S68" i="1"/>
  <c r="S69" i="1"/>
  <c r="S70" i="1"/>
  <c r="S71" i="1"/>
  <c r="S72" i="1"/>
  <c r="S63" i="1"/>
  <c r="S57" i="1"/>
  <c r="S58" i="1"/>
  <c r="S59" i="1"/>
  <c r="S60" i="1"/>
  <c r="S61" i="1"/>
  <c r="S56" i="1"/>
  <c r="S48" i="1"/>
  <c r="S49" i="1"/>
  <c r="S51" i="1"/>
  <c r="S52" i="1"/>
  <c r="S50" i="1"/>
  <c r="S53" i="1"/>
  <c r="S47" i="1"/>
  <c r="S36" i="1"/>
  <c r="S37" i="1"/>
  <c r="S39" i="1"/>
  <c r="S40" i="1"/>
  <c r="S41" i="1"/>
  <c r="S42" i="1"/>
  <c r="S43" i="1"/>
  <c r="S44" i="1"/>
  <c r="S38" i="1"/>
  <c r="S45" i="1"/>
  <c r="S35" i="1"/>
  <c r="S32" i="1"/>
  <c r="S33" i="1"/>
  <c r="S31" i="1"/>
  <c r="S28" i="1"/>
  <c r="S29" i="1"/>
  <c r="S27" i="1"/>
  <c r="S20" i="1"/>
  <c r="S21" i="1"/>
  <c r="S22" i="1"/>
  <c r="S23" i="1"/>
  <c r="S24" i="1"/>
  <c r="S25" i="1"/>
  <c r="S19" i="1"/>
  <c r="S14" i="1"/>
  <c r="S15" i="1"/>
  <c r="S16" i="1"/>
  <c r="S17" i="1"/>
  <c r="S13" i="1"/>
  <c r="S10" i="1"/>
  <c r="S11" i="1"/>
  <c r="S9" i="1"/>
  <c r="S5" i="1"/>
  <c r="S6" i="1"/>
  <c r="S7" i="1"/>
  <c r="BR54" i="1" l="1"/>
  <c r="AX137" i="1"/>
  <c r="AZ137" i="1"/>
  <c r="BB137" i="1"/>
  <c r="AY137" i="1"/>
  <c r="AN137" i="1" l="1"/>
  <c r="BL137" i="1" s="1"/>
  <c r="BC137" i="1"/>
  <c r="BN137" i="1" l="1"/>
  <c r="BO137" i="1"/>
  <c r="BM137" i="1"/>
  <c r="BK137" i="1"/>
  <c r="BD261" i="1" l="1"/>
  <c r="BD262" i="1"/>
  <c r="BD263" i="1"/>
  <c r="BD264" i="1"/>
  <c r="BD260" i="1"/>
  <c r="BD255" i="1"/>
  <c r="BD256" i="1"/>
  <c r="BD257" i="1"/>
  <c r="BD258" i="1"/>
  <c r="BD254" i="1"/>
  <c r="BD246" i="1"/>
  <c r="BD247" i="1"/>
  <c r="BD248" i="1"/>
  <c r="BD249" i="1"/>
  <c r="BD250" i="1"/>
  <c r="BD245" i="1"/>
  <c r="BD242" i="1"/>
  <c r="BD243" i="1"/>
  <c r="BD236" i="1"/>
  <c r="BD237" i="1"/>
  <c r="BD238" i="1"/>
  <c r="BD239" i="1"/>
  <c r="BD235" i="1"/>
  <c r="BD230" i="1"/>
  <c r="BD231" i="1"/>
  <c r="BD232" i="1"/>
  <c r="BD233" i="1"/>
  <c r="BD229" i="1"/>
  <c r="BD224" i="1"/>
  <c r="BD225" i="1"/>
  <c r="BD226" i="1"/>
  <c r="BD227" i="1"/>
  <c r="BD223" i="1"/>
  <c r="BD214" i="1"/>
  <c r="BD215" i="1"/>
  <c r="BD216" i="1"/>
  <c r="BD217" i="1"/>
  <c r="BD218" i="1"/>
  <c r="BD219" i="1"/>
  <c r="BD220" i="1"/>
  <c r="BD221" i="1"/>
  <c r="BD21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189" i="1"/>
  <c r="BD190" i="1"/>
  <c r="BD191" i="1"/>
  <c r="BD188" i="1"/>
  <c r="BD185" i="1"/>
  <c r="BD182" i="1"/>
  <c r="BD183" i="1"/>
  <c r="BD184" i="1"/>
  <c r="BD186" i="1"/>
  <c r="BD173" i="1"/>
  <c r="BD164" i="1"/>
  <c r="BD165" i="1"/>
  <c r="BD168" i="1"/>
  <c r="BD169" i="1"/>
  <c r="BD170" i="1"/>
  <c r="BD166" i="1"/>
  <c r="BD167" i="1"/>
  <c r="BD171" i="1"/>
  <c r="BD163" i="1"/>
  <c r="BD143" i="1"/>
  <c r="BD145" i="1"/>
  <c r="BD144" i="1"/>
  <c r="BD146" i="1"/>
  <c r="BD147" i="1"/>
  <c r="BD148" i="1"/>
  <c r="BD149" i="1"/>
  <c r="BD150" i="1"/>
  <c r="BD151" i="1"/>
  <c r="BD152" i="1"/>
  <c r="BD129" i="1"/>
  <c r="BD130" i="1"/>
  <c r="BD131" i="1"/>
  <c r="BD132" i="1"/>
  <c r="BD122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01" i="1"/>
  <c r="BD102" i="1"/>
  <c r="BD103" i="1"/>
  <c r="BD104" i="1"/>
  <c r="BD105" i="1"/>
  <c r="BD100" i="1"/>
  <c r="BD89" i="1"/>
  <c r="BD92" i="1"/>
  <c r="BD93" i="1"/>
  <c r="BD94" i="1"/>
  <c r="BD95" i="1"/>
  <c r="BD96" i="1"/>
  <c r="BD97" i="1"/>
  <c r="BD98" i="1"/>
  <c r="BD88" i="1"/>
  <c r="BD90" i="1"/>
  <c r="BD91" i="1"/>
  <c r="BD64" i="1"/>
  <c r="BD65" i="1"/>
  <c r="BD66" i="1"/>
  <c r="BD67" i="1"/>
  <c r="BD68" i="1"/>
  <c r="BD69" i="1"/>
  <c r="BD70" i="1"/>
  <c r="BD71" i="1"/>
  <c r="BD72" i="1"/>
  <c r="BD63" i="1"/>
  <c r="BD61" i="1"/>
  <c r="BD59" i="1"/>
  <c r="BD58" i="1"/>
  <c r="BD57" i="1"/>
  <c r="BD56" i="1"/>
  <c r="BD48" i="1"/>
  <c r="BD49" i="1"/>
  <c r="BD51" i="1"/>
  <c r="BD52" i="1"/>
  <c r="BD50" i="1"/>
  <c r="BD53" i="1"/>
  <c r="BD47" i="1"/>
  <c r="BD36" i="1"/>
  <c r="BD37" i="1"/>
  <c r="BD39" i="1"/>
  <c r="BD40" i="1"/>
  <c r="BD41" i="1"/>
  <c r="BD42" i="1"/>
  <c r="BD43" i="1"/>
  <c r="BD44" i="1"/>
  <c r="BD38" i="1"/>
  <c r="BD45" i="1"/>
  <c r="BD35" i="1"/>
  <c r="BD32" i="1"/>
  <c r="BD33" i="1"/>
  <c r="BD31" i="1"/>
  <c r="BD28" i="1"/>
  <c r="BD29" i="1"/>
  <c r="BD27" i="1"/>
  <c r="BD20" i="1"/>
  <c r="BD21" i="1"/>
  <c r="BD22" i="1"/>
  <c r="BD23" i="1"/>
  <c r="BD24" i="1"/>
  <c r="BD25" i="1"/>
  <c r="BD19" i="1"/>
  <c r="BD14" i="1"/>
  <c r="BD15" i="1"/>
  <c r="BD16" i="1"/>
  <c r="BD17" i="1"/>
  <c r="BD13" i="1"/>
  <c r="BD10" i="1"/>
  <c r="BD11" i="1"/>
  <c r="BD9" i="1"/>
  <c r="BD4" i="1"/>
  <c r="BD5" i="1"/>
  <c r="BD6" i="1"/>
  <c r="BD7" i="1"/>
  <c r="T261" i="1"/>
  <c r="T262" i="1"/>
  <c r="T263" i="1"/>
  <c r="T264" i="1"/>
  <c r="T260" i="1"/>
  <c r="T253" i="1"/>
  <c r="T254" i="1"/>
  <c r="T255" i="1"/>
  <c r="T256" i="1"/>
  <c r="T257" i="1"/>
  <c r="T258" i="1"/>
  <c r="T252" i="1"/>
  <c r="T246" i="1"/>
  <c r="T247" i="1"/>
  <c r="T248" i="1"/>
  <c r="T249" i="1"/>
  <c r="T250" i="1"/>
  <c r="T245" i="1"/>
  <c r="T236" i="1"/>
  <c r="T237" i="1"/>
  <c r="T238" i="1"/>
  <c r="T239" i="1"/>
  <c r="T240" i="1"/>
  <c r="T241" i="1"/>
  <c r="T242" i="1"/>
  <c r="T243" i="1"/>
  <c r="T235" i="1"/>
  <c r="T230" i="1"/>
  <c r="T231" i="1"/>
  <c r="T232" i="1"/>
  <c r="T233" i="1"/>
  <c r="T229" i="1"/>
  <c r="T224" i="1"/>
  <c r="T225" i="1"/>
  <c r="T226" i="1"/>
  <c r="T227" i="1"/>
  <c r="T223" i="1"/>
  <c r="T214" i="1"/>
  <c r="T215" i="1"/>
  <c r="T216" i="1"/>
  <c r="T217" i="1"/>
  <c r="T218" i="1"/>
  <c r="T219" i="1"/>
  <c r="T220" i="1"/>
  <c r="T221" i="1"/>
  <c r="T213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188" i="1"/>
  <c r="T174" i="1"/>
  <c r="T175" i="1"/>
  <c r="T176" i="1"/>
  <c r="T177" i="1"/>
  <c r="T178" i="1"/>
  <c r="T179" i="1"/>
  <c r="T180" i="1"/>
  <c r="T181" i="1"/>
  <c r="T185" i="1"/>
  <c r="T182" i="1"/>
  <c r="T183" i="1"/>
  <c r="T184" i="1"/>
  <c r="T186" i="1"/>
  <c r="T173" i="1"/>
  <c r="T135" i="1"/>
  <c r="T136" i="1"/>
  <c r="T138" i="1"/>
  <c r="T139" i="1"/>
  <c r="T140" i="1"/>
  <c r="T141" i="1"/>
  <c r="T142" i="1"/>
  <c r="T143" i="1"/>
  <c r="T145" i="1"/>
  <c r="T144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8" i="1"/>
  <c r="T169" i="1"/>
  <c r="T170" i="1"/>
  <c r="T166" i="1"/>
  <c r="T167" i="1"/>
  <c r="T171" i="1"/>
  <c r="T134" i="1"/>
  <c r="T123" i="1"/>
  <c r="T124" i="1"/>
  <c r="T125" i="1"/>
  <c r="T126" i="1"/>
  <c r="T127" i="1"/>
  <c r="T128" i="1"/>
  <c r="T129" i="1"/>
  <c r="T130" i="1"/>
  <c r="T131" i="1"/>
  <c r="T132" i="1"/>
  <c r="T122" i="1"/>
  <c r="T75" i="1"/>
  <c r="T76" i="1"/>
  <c r="T77" i="1"/>
  <c r="T78" i="1"/>
  <c r="T79" i="1"/>
  <c r="T80" i="1"/>
  <c r="T81" i="1"/>
  <c r="T82" i="1"/>
  <c r="T83" i="1"/>
  <c r="T84" i="1"/>
  <c r="T85" i="1"/>
  <c r="T90" i="1"/>
  <c r="T91" i="1"/>
  <c r="T86" i="1"/>
  <c r="T87" i="1"/>
  <c r="T88" i="1"/>
  <c r="T89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74" i="1"/>
  <c r="T64" i="1"/>
  <c r="T65" i="1"/>
  <c r="T66" i="1"/>
  <c r="T67" i="1"/>
  <c r="T68" i="1"/>
  <c r="T69" i="1"/>
  <c r="T70" i="1"/>
  <c r="T71" i="1"/>
  <c r="T72" i="1"/>
  <c r="T63" i="1"/>
  <c r="T57" i="1"/>
  <c r="T58" i="1"/>
  <c r="T59" i="1"/>
  <c r="T60" i="1"/>
  <c r="T61" i="1"/>
  <c r="T56" i="1"/>
  <c r="T48" i="1"/>
  <c r="T49" i="1"/>
  <c r="T51" i="1"/>
  <c r="T52" i="1"/>
  <c r="T50" i="1"/>
  <c r="T53" i="1"/>
  <c r="T47" i="1"/>
  <c r="T36" i="1"/>
  <c r="T37" i="1"/>
  <c r="T39" i="1"/>
  <c r="T40" i="1"/>
  <c r="T41" i="1"/>
  <c r="T42" i="1"/>
  <c r="T43" i="1"/>
  <c r="T44" i="1"/>
  <c r="T38" i="1"/>
  <c r="T45" i="1"/>
  <c r="T35" i="1"/>
  <c r="T32" i="1"/>
  <c r="T33" i="1"/>
  <c r="T31" i="1"/>
  <c r="T28" i="1"/>
  <c r="T29" i="1"/>
  <c r="T27" i="1"/>
  <c r="T20" i="1"/>
  <c r="T21" i="1"/>
  <c r="T22" i="1"/>
  <c r="T23" i="1"/>
  <c r="T24" i="1"/>
  <c r="T25" i="1"/>
  <c r="T19" i="1"/>
  <c r="T14" i="1"/>
  <c r="T15" i="1"/>
  <c r="T16" i="1"/>
  <c r="T17" i="1"/>
  <c r="T13" i="1"/>
  <c r="BP13" i="1" s="1"/>
  <c r="T10" i="1"/>
  <c r="T11" i="1"/>
  <c r="T9" i="1"/>
  <c r="T4" i="1"/>
  <c r="T5" i="1"/>
  <c r="T6" i="1"/>
  <c r="T7" i="1"/>
  <c r="BK213" i="1" l="1"/>
  <c r="D2" i="3"/>
  <c r="C37" i="2" l="1"/>
  <c r="AM106" i="1" l="1"/>
  <c r="BF106" i="1" s="1"/>
  <c r="AP106" i="1"/>
  <c r="AQ106" i="1"/>
  <c r="AR106" i="1"/>
  <c r="AT106" i="1"/>
  <c r="AW106" i="1"/>
  <c r="AX106" i="1"/>
  <c r="BG106" i="1"/>
  <c r="BI106" i="1"/>
  <c r="BJ106" i="1"/>
  <c r="BP106" i="1"/>
  <c r="L106" i="1"/>
  <c r="AO106" i="1" l="1"/>
  <c r="AY106" i="1" s="1"/>
  <c r="BB106" i="1"/>
  <c r="BA106" i="1"/>
  <c r="AZ106" i="1" l="1"/>
  <c r="AN106" i="1" s="1"/>
  <c r="BC106" i="1" l="1"/>
  <c r="BO106" i="1"/>
  <c r="BM106" i="1"/>
  <c r="BK106" i="1"/>
  <c r="BN106" i="1"/>
  <c r="C39" i="2" l="1"/>
  <c r="C38" i="2"/>
  <c r="C36" i="2"/>
  <c r="L261" i="1" l="1"/>
  <c r="L262" i="1"/>
  <c r="L263" i="1"/>
  <c r="L260" i="1"/>
  <c r="L253" i="1"/>
  <c r="L254" i="1"/>
  <c r="L255" i="1"/>
  <c r="L256" i="1"/>
  <c r="L257" i="1"/>
  <c r="L252" i="1"/>
  <c r="L246" i="1"/>
  <c r="L247" i="1"/>
  <c r="L248" i="1"/>
  <c r="L249" i="1"/>
  <c r="L250" i="1"/>
  <c r="L245" i="1"/>
  <c r="L236" i="1"/>
  <c r="L237" i="1"/>
  <c r="L238" i="1"/>
  <c r="L239" i="1"/>
  <c r="L240" i="1"/>
  <c r="L241" i="1"/>
  <c r="L242" i="1"/>
  <c r="L243" i="1"/>
  <c r="L235" i="1"/>
  <c r="L230" i="1"/>
  <c r="L231" i="1"/>
  <c r="L232" i="1"/>
  <c r="L233" i="1"/>
  <c r="L229" i="1"/>
  <c r="L224" i="1"/>
  <c r="L225" i="1"/>
  <c r="L226" i="1"/>
  <c r="L227" i="1"/>
  <c r="L223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188" i="1"/>
  <c r="L174" i="1"/>
  <c r="L175" i="1"/>
  <c r="L176" i="1"/>
  <c r="L177" i="1"/>
  <c r="L178" i="1"/>
  <c r="L179" i="1"/>
  <c r="L180" i="1"/>
  <c r="L181" i="1"/>
  <c r="L185" i="1"/>
  <c r="L182" i="1"/>
  <c r="L183" i="1"/>
  <c r="L184" i="1"/>
  <c r="L173" i="1"/>
  <c r="L135" i="1"/>
  <c r="L136" i="1"/>
  <c r="L138" i="1"/>
  <c r="L139" i="1"/>
  <c r="L140" i="1"/>
  <c r="L141" i="1"/>
  <c r="L142" i="1"/>
  <c r="L143" i="1"/>
  <c r="L145" i="1"/>
  <c r="L144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8" i="1"/>
  <c r="L169" i="1"/>
  <c r="L170" i="1"/>
  <c r="L166" i="1"/>
  <c r="L167" i="1"/>
  <c r="L171" i="1"/>
  <c r="L134" i="1"/>
  <c r="L123" i="1"/>
  <c r="L124" i="1"/>
  <c r="L125" i="1"/>
  <c r="L126" i="1"/>
  <c r="L127" i="1"/>
  <c r="L128" i="1"/>
  <c r="L129" i="1"/>
  <c r="L130" i="1"/>
  <c r="L131" i="1"/>
  <c r="L132" i="1"/>
  <c r="L122" i="1"/>
  <c r="L75" i="1"/>
  <c r="L76" i="1"/>
  <c r="L77" i="1"/>
  <c r="L78" i="1"/>
  <c r="L79" i="1"/>
  <c r="L80" i="1"/>
  <c r="L81" i="1"/>
  <c r="L82" i="1"/>
  <c r="L83" i="1"/>
  <c r="L84" i="1"/>
  <c r="L85" i="1"/>
  <c r="L90" i="1"/>
  <c r="L91" i="1"/>
  <c r="L86" i="1"/>
  <c r="L87" i="1"/>
  <c r="L88" i="1"/>
  <c r="L89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74" i="1"/>
  <c r="L64" i="1"/>
  <c r="L65" i="1"/>
  <c r="L66" i="1"/>
  <c r="L67" i="1"/>
  <c r="L68" i="1"/>
  <c r="L69" i="1"/>
  <c r="L70" i="1"/>
  <c r="L71" i="1"/>
  <c r="L72" i="1"/>
  <c r="L63" i="1"/>
  <c r="L57" i="1"/>
  <c r="Y57" i="1" s="1"/>
  <c r="W57" i="1" s="1"/>
  <c r="L58" i="1"/>
  <c r="L59" i="1"/>
  <c r="L60" i="1"/>
  <c r="L61" i="1"/>
  <c r="L56" i="1"/>
  <c r="L48" i="1"/>
  <c r="L49" i="1"/>
  <c r="L51" i="1"/>
  <c r="L52" i="1"/>
  <c r="L50" i="1"/>
  <c r="L53" i="1"/>
  <c r="L47" i="1"/>
  <c r="L36" i="1"/>
  <c r="L37" i="1"/>
  <c r="L39" i="1"/>
  <c r="L40" i="1"/>
  <c r="L41" i="1"/>
  <c r="L42" i="1"/>
  <c r="L43" i="1"/>
  <c r="L44" i="1"/>
  <c r="L38" i="1"/>
  <c r="L45" i="1"/>
  <c r="L35" i="1"/>
  <c r="L32" i="1"/>
  <c r="L33" i="1"/>
  <c r="L31" i="1"/>
  <c r="L28" i="1"/>
  <c r="L29" i="1"/>
  <c r="L27" i="1"/>
  <c r="L20" i="1"/>
  <c r="L21" i="1"/>
  <c r="L22" i="1"/>
  <c r="L23" i="1"/>
  <c r="L24" i="1"/>
  <c r="L25" i="1"/>
  <c r="L19" i="1"/>
  <c r="L14" i="1"/>
  <c r="L15" i="1"/>
  <c r="L16" i="1"/>
  <c r="L17" i="1"/>
  <c r="L13" i="1"/>
  <c r="L10" i="1"/>
  <c r="AO10" i="1" s="1"/>
  <c r="L11" i="1"/>
  <c r="AO11" i="1" s="1"/>
  <c r="L9" i="1"/>
  <c r="AO9" i="1" s="1"/>
  <c r="L4" i="1"/>
  <c r="AO4" i="1" s="1"/>
  <c r="L5" i="1"/>
  <c r="AO5" i="1" s="1"/>
  <c r="L6" i="1"/>
  <c r="AO6" i="1" s="1"/>
  <c r="L7" i="1"/>
  <c r="AO7" i="1" s="1"/>
  <c r="C22" i="3" l="1"/>
  <c r="E2" i="3" s="1"/>
  <c r="BK257" i="1"/>
  <c r="BK214" i="1"/>
  <c r="BK215" i="1"/>
  <c r="BK216" i="1"/>
  <c r="BK217" i="1"/>
  <c r="BK218" i="1"/>
  <c r="BK219" i="1"/>
  <c r="BK220" i="1"/>
  <c r="BK221" i="1"/>
  <c r="BK191" i="1"/>
  <c r="BK195" i="1"/>
  <c r="BK196" i="1"/>
  <c r="BK197" i="1"/>
  <c r="BK201" i="1"/>
  <c r="BK202" i="1"/>
  <c r="BK203" i="1"/>
  <c r="BK204" i="1"/>
  <c r="BK205" i="1"/>
  <c r="BK206" i="1"/>
  <c r="BK207" i="1"/>
  <c r="BK208" i="1"/>
  <c r="BK209" i="1"/>
  <c r="BK210" i="1"/>
  <c r="BK64" i="1"/>
  <c r="BK65" i="1"/>
  <c r="BK66" i="1"/>
  <c r="BK67" i="1"/>
  <c r="BK68" i="1"/>
  <c r="BK69" i="1"/>
  <c r="BK70" i="1"/>
  <c r="BK71" i="1"/>
  <c r="BP44" i="1"/>
  <c r="AM44" i="1"/>
  <c r="BF44" i="1" s="1"/>
  <c r="AO44" i="1"/>
  <c r="AZ44" i="1" s="1"/>
  <c r="AP44" i="1"/>
  <c r="AQ44" i="1"/>
  <c r="AR44" i="1"/>
  <c r="AT44" i="1"/>
  <c r="AW44" i="1"/>
  <c r="AX44" i="1"/>
  <c r="BA44" i="1"/>
  <c r="BB44" i="1"/>
  <c r="BG44" i="1"/>
  <c r="BI44" i="1"/>
  <c r="BJ44" i="1"/>
  <c r="AV172" i="1"/>
  <c r="BJ226" i="1"/>
  <c r="BI226" i="1"/>
  <c r="BH226" i="1"/>
  <c r="BG226" i="1"/>
  <c r="BB226" i="1"/>
  <c r="AW226" i="1"/>
  <c r="AT226" i="1"/>
  <c r="AR226" i="1"/>
  <c r="AQ226" i="1"/>
  <c r="AP226" i="1"/>
  <c r="AO226" i="1"/>
  <c r="AZ226" i="1" s="1"/>
  <c r="AM226" i="1"/>
  <c r="BF226" i="1" s="1"/>
  <c r="BP226" i="1"/>
  <c r="AM200" i="1"/>
  <c r="BF200" i="1" s="1"/>
  <c r="AO200" i="1"/>
  <c r="AY200" i="1" s="1"/>
  <c r="AP200" i="1"/>
  <c r="AQ200" i="1"/>
  <c r="AR200" i="1"/>
  <c r="AT200" i="1"/>
  <c r="AW200" i="1"/>
  <c r="BB200" i="1"/>
  <c r="BG200" i="1"/>
  <c r="BH200" i="1"/>
  <c r="BI200" i="1"/>
  <c r="BJ200" i="1"/>
  <c r="BP200" i="1"/>
  <c r="AS18" i="1"/>
  <c r="AV18" i="1"/>
  <c r="AS26" i="1"/>
  <c r="AV26" i="1"/>
  <c r="AS30" i="1"/>
  <c r="AV30" i="1"/>
  <c r="BQ30" i="1"/>
  <c r="AS34" i="1"/>
  <c r="AV34" i="1"/>
  <c r="BQ34" i="1"/>
  <c r="AS46" i="1"/>
  <c r="BQ46" i="1"/>
  <c r="AS55" i="1"/>
  <c r="AV55" i="1"/>
  <c r="BQ55" i="1"/>
  <c r="AS73" i="1"/>
  <c r="AV73" i="1"/>
  <c r="BE73" i="1"/>
  <c r="BQ73" i="1"/>
  <c r="AV133" i="1"/>
  <c r="AS187" i="1"/>
  <c r="AV187" i="1"/>
  <c r="AS212" i="1"/>
  <c r="AV212" i="1"/>
  <c r="AS222" i="1"/>
  <c r="AV222" i="1"/>
  <c r="BE222" i="1"/>
  <c r="BQ222" i="1"/>
  <c r="AS228" i="1"/>
  <c r="AV228" i="1"/>
  <c r="BQ228" i="1"/>
  <c r="AS234" i="1"/>
  <c r="AV234" i="1"/>
  <c r="BE234" i="1"/>
  <c r="BQ234" i="1"/>
  <c r="AS244" i="1"/>
  <c r="AS251" i="1"/>
  <c r="BQ251" i="1"/>
  <c r="AS12" i="1"/>
  <c r="AV12" i="1"/>
  <c r="BQ12" i="1"/>
  <c r="AV8" i="1"/>
  <c r="AS259" i="1"/>
  <c r="AV259" i="1"/>
  <c r="AS265" i="1"/>
  <c r="BQ265" i="1"/>
  <c r="BE264" i="1"/>
  <c r="BE265" i="1" s="1"/>
  <c r="AV264" i="1"/>
  <c r="AV265" i="1" s="1"/>
  <c r="BE258" i="1"/>
  <c r="BE259" i="1" s="1"/>
  <c r="BE250" i="1"/>
  <c r="BE251" i="1" s="1"/>
  <c r="AV250" i="1"/>
  <c r="AV251" i="1" s="1"/>
  <c r="BE243" i="1"/>
  <c r="BE244" i="1" s="1"/>
  <c r="AV243" i="1"/>
  <c r="AV244" i="1" s="1"/>
  <c r="BE227" i="1"/>
  <c r="BE228" i="1" s="1"/>
  <c r="BE211" i="1"/>
  <c r="BE212" i="1" s="1"/>
  <c r="BE186" i="1"/>
  <c r="BE187" i="1" s="1"/>
  <c r="AS171" i="1"/>
  <c r="AS172" i="1" s="1"/>
  <c r="BE132" i="1"/>
  <c r="BE133" i="1" s="1"/>
  <c r="AS132" i="1"/>
  <c r="AS133" i="1" s="1"/>
  <c r="BE120" i="1"/>
  <c r="BE121" i="1" s="1"/>
  <c r="AV120" i="1"/>
  <c r="AV121" i="1" s="1"/>
  <c r="AS120" i="1"/>
  <c r="AS121" i="1" s="1"/>
  <c r="BE55" i="1"/>
  <c r="BE45" i="1"/>
  <c r="BE46" i="1" s="1"/>
  <c r="AV45" i="1"/>
  <c r="AV46" i="1" s="1"/>
  <c r="BE33" i="1"/>
  <c r="BE34" i="1" s="1"/>
  <c r="BE29" i="1"/>
  <c r="BE30" i="1" s="1"/>
  <c r="BE25" i="1"/>
  <c r="BE26" i="1" s="1"/>
  <c r="BE17" i="1"/>
  <c r="BE18" i="1" s="1"/>
  <c r="BE11" i="1"/>
  <c r="BE12" i="1" s="1"/>
  <c r="BE7" i="1"/>
  <c r="BE8" i="1" s="1"/>
  <c r="AV61" i="1"/>
  <c r="AV62" i="1" s="1"/>
  <c r="C22" i="7"/>
  <c r="C19" i="7"/>
  <c r="BE61" i="1"/>
  <c r="BE62" i="1" s="1"/>
  <c r="AS61" i="1"/>
  <c r="AS62" i="1" s="1"/>
  <c r="AS7" i="1"/>
  <c r="AS8" i="1" s="1"/>
  <c r="AM21" i="1"/>
  <c r="BF21" i="1" s="1"/>
  <c r="AO21" i="1"/>
  <c r="AZ21" i="1" s="1"/>
  <c r="AP21" i="1"/>
  <c r="AQ21" i="1"/>
  <c r="AR21" i="1"/>
  <c r="AT21" i="1"/>
  <c r="AW21" i="1"/>
  <c r="AX21" i="1"/>
  <c r="BA21" i="1"/>
  <c r="BB21" i="1"/>
  <c r="BG21" i="1"/>
  <c r="BI21" i="1"/>
  <c r="BJ21" i="1"/>
  <c r="BP21" i="1"/>
  <c r="G8" i="1"/>
  <c r="G12" i="1"/>
  <c r="G18" i="1"/>
  <c r="G26" i="1"/>
  <c r="G30" i="1"/>
  <c r="G34" i="1"/>
  <c r="G46" i="1"/>
  <c r="G55" i="1"/>
  <c r="G62" i="1"/>
  <c r="G73" i="1"/>
  <c r="G121" i="1"/>
  <c r="Y120" i="1"/>
  <c r="W120" i="1"/>
  <c r="Y132" i="1"/>
  <c r="W132" i="1"/>
  <c r="G133" i="1"/>
  <c r="G172" i="1"/>
  <c r="G187" i="1"/>
  <c r="G222" i="1"/>
  <c r="AM214" i="1"/>
  <c r="BF214" i="1" s="1"/>
  <c r="AO214" i="1"/>
  <c r="AZ214" i="1" s="1"/>
  <c r="AP214" i="1"/>
  <c r="AQ214" i="1"/>
  <c r="AR214" i="1"/>
  <c r="AT214" i="1"/>
  <c r="AW214" i="1"/>
  <c r="AX214" i="1"/>
  <c r="BA214" i="1"/>
  <c r="BB214" i="1"/>
  <c r="BG214" i="1"/>
  <c r="BH214" i="1"/>
  <c r="BI214" i="1"/>
  <c r="BJ214" i="1"/>
  <c r="BO214" i="1"/>
  <c r="AM215" i="1"/>
  <c r="BF215" i="1" s="1"/>
  <c r="AO215" i="1"/>
  <c r="AY215" i="1" s="1"/>
  <c r="AP215" i="1"/>
  <c r="AQ215" i="1"/>
  <c r="AR215" i="1"/>
  <c r="AT215" i="1"/>
  <c r="AW215" i="1"/>
  <c r="AX215" i="1"/>
  <c r="BA215" i="1"/>
  <c r="BB215" i="1"/>
  <c r="BG215" i="1"/>
  <c r="BH215" i="1"/>
  <c r="BI215" i="1"/>
  <c r="BJ215" i="1"/>
  <c r="BO215" i="1"/>
  <c r="AM216" i="1"/>
  <c r="BF216" i="1" s="1"/>
  <c r="AO216" i="1"/>
  <c r="AZ216" i="1" s="1"/>
  <c r="AP216" i="1"/>
  <c r="AQ216" i="1"/>
  <c r="AR216" i="1"/>
  <c r="AT216" i="1"/>
  <c r="AW216" i="1"/>
  <c r="AX216" i="1"/>
  <c r="BA216" i="1"/>
  <c r="BB216" i="1"/>
  <c r="BG216" i="1"/>
  <c r="BH216" i="1"/>
  <c r="BI216" i="1"/>
  <c r="BJ216" i="1"/>
  <c r="BO216" i="1"/>
  <c r="AM217" i="1"/>
  <c r="BF217" i="1" s="1"/>
  <c r="AO217" i="1"/>
  <c r="AZ217" i="1" s="1"/>
  <c r="AP217" i="1"/>
  <c r="AQ217" i="1"/>
  <c r="AR217" i="1"/>
  <c r="AT217" i="1"/>
  <c r="AW217" i="1"/>
  <c r="AX217" i="1"/>
  <c r="BA217" i="1"/>
  <c r="BB217" i="1"/>
  <c r="BG217" i="1"/>
  <c r="BH217" i="1"/>
  <c r="BI217" i="1"/>
  <c r="BJ217" i="1"/>
  <c r="BO217" i="1"/>
  <c r="AM218" i="1"/>
  <c r="BF218" i="1" s="1"/>
  <c r="AO218" i="1"/>
  <c r="AY218" i="1" s="1"/>
  <c r="AP218" i="1"/>
  <c r="AQ218" i="1"/>
  <c r="AR218" i="1"/>
  <c r="AT218" i="1"/>
  <c r="AW218" i="1"/>
  <c r="AX218" i="1"/>
  <c r="BA218" i="1"/>
  <c r="BB218" i="1"/>
  <c r="BG218" i="1"/>
  <c r="BH218" i="1"/>
  <c r="BI218" i="1"/>
  <c r="BJ218" i="1"/>
  <c r="BO218" i="1"/>
  <c r="AM219" i="1"/>
  <c r="BF219" i="1" s="1"/>
  <c r="AO219" i="1"/>
  <c r="AP219" i="1"/>
  <c r="AQ219" i="1"/>
  <c r="AR219" i="1"/>
  <c r="AT219" i="1"/>
  <c r="AW219" i="1"/>
  <c r="AX219" i="1"/>
  <c r="BA219" i="1"/>
  <c r="BB219" i="1"/>
  <c r="BG219" i="1"/>
  <c r="BH219" i="1"/>
  <c r="BI219" i="1"/>
  <c r="BJ219" i="1"/>
  <c r="BO219" i="1"/>
  <c r="AM220" i="1"/>
  <c r="BF220" i="1" s="1"/>
  <c r="AO220" i="1"/>
  <c r="AZ220" i="1" s="1"/>
  <c r="AP220" i="1"/>
  <c r="AQ220" i="1"/>
  <c r="AR220" i="1"/>
  <c r="AT220" i="1"/>
  <c r="AW220" i="1"/>
  <c r="AX220" i="1"/>
  <c r="BA220" i="1"/>
  <c r="BB220" i="1"/>
  <c r="BG220" i="1"/>
  <c r="BH220" i="1"/>
  <c r="BI220" i="1"/>
  <c r="BJ220" i="1"/>
  <c r="BO220" i="1"/>
  <c r="AM221" i="1"/>
  <c r="BF221" i="1" s="1"/>
  <c r="AO221" i="1"/>
  <c r="AZ221" i="1" s="1"/>
  <c r="AP221" i="1"/>
  <c r="AQ221" i="1"/>
  <c r="AR221" i="1"/>
  <c r="AT221" i="1"/>
  <c r="AW221" i="1"/>
  <c r="AX221" i="1"/>
  <c r="BA221" i="1"/>
  <c r="BB221" i="1"/>
  <c r="BG221" i="1"/>
  <c r="BH221" i="1"/>
  <c r="BI221" i="1"/>
  <c r="BJ221" i="1"/>
  <c r="BO221" i="1"/>
  <c r="BO213" i="1"/>
  <c r="BJ213" i="1"/>
  <c r="BI213" i="1"/>
  <c r="BH213" i="1"/>
  <c r="BG213" i="1"/>
  <c r="BB213" i="1"/>
  <c r="BA213" i="1"/>
  <c r="AX213" i="1"/>
  <c r="AW213" i="1"/>
  <c r="AT213" i="1"/>
  <c r="AR213" i="1"/>
  <c r="AQ213" i="1"/>
  <c r="AP213" i="1"/>
  <c r="AO213" i="1"/>
  <c r="AY213" i="1" s="1"/>
  <c r="AM213" i="1"/>
  <c r="BF213" i="1" s="1"/>
  <c r="BP214" i="1"/>
  <c r="BP215" i="1"/>
  <c r="BP216" i="1"/>
  <c r="BP217" i="1"/>
  <c r="BP218" i="1"/>
  <c r="BP219" i="1"/>
  <c r="BP220" i="1"/>
  <c r="BP221" i="1"/>
  <c r="BP213" i="1"/>
  <c r="AM201" i="1"/>
  <c r="BF201" i="1" s="1"/>
  <c r="AO201" i="1"/>
  <c r="AY201" i="1" s="1"/>
  <c r="AP201" i="1"/>
  <c r="AQ201" i="1"/>
  <c r="AR201" i="1"/>
  <c r="AT201" i="1"/>
  <c r="AW201" i="1"/>
  <c r="AX201" i="1"/>
  <c r="BA201" i="1"/>
  <c r="BB201" i="1"/>
  <c r="BG201" i="1"/>
  <c r="BH201" i="1"/>
  <c r="BI201" i="1"/>
  <c r="BJ201" i="1"/>
  <c r="BO201" i="1"/>
  <c r="AM202" i="1"/>
  <c r="BF202" i="1" s="1"/>
  <c r="AO202" i="1"/>
  <c r="AY202" i="1" s="1"/>
  <c r="AP202" i="1"/>
  <c r="AQ202" i="1"/>
  <c r="AR202" i="1"/>
  <c r="AT202" i="1"/>
  <c r="AW202" i="1"/>
  <c r="AX202" i="1"/>
  <c r="BA202" i="1"/>
  <c r="BB202" i="1"/>
  <c r="BG202" i="1"/>
  <c r="BH202" i="1"/>
  <c r="BI202" i="1"/>
  <c r="BJ202" i="1"/>
  <c r="BO202" i="1"/>
  <c r="AM203" i="1"/>
  <c r="BF203" i="1" s="1"/>
  <c r="AO203" i="1"/>
  <c r="AZ203" i="1" s="1"/>
  <c r="AP203" i="1"/>
  <c r="AQ203" i="1"/>
  <c r="AR203" i="1"/>
  <c r="AT203" i="1"/>
  <c r="AW203" i="1"/>
  <c r="AX203" i="1"/>
  <c r="BA203" i="1"/>
  <c r="BB203" i="1"/>
  <c r="BG203" i="1"/>
  <c r="BH203" i="1"/>
  <c r="BI203" i="1"/>
  <c r="BJ203" i="1"/>
  <c r="BO203" i="1"/>
  <c r="AM204" i="1"/>
  <c r="BF204" i="1" s="1"/>
  <c r="AO204" i="1"/>
  <c r="AZ204" i="1" s="1"/>
  <c r="AP204" i="1"/>
  <c r="AQ204" i="1"/>
  <c r="AR204" i="1"/>
  <c r="AT204" i="1"/>
  <c r="AW204" i="1"/>
  <c r="AX204" i="1"/>
  <c r="BA204" i="1"/>
  <c r="BB204" i="1"/>
  <c r="BG204" i="1"/>
  <c r="BH204" i="1"/>
  <c r="BI204" i="1"/>
  <c r="BJ204" i="1"/>
  <c r="BO204" i="1"/>
  <c r="AM205" i="1"/>
  <c r="BF205" i="1" s="1"/>
  <c r="AO205" i="1"/>
  <c r="AY205" i="1" s="1"/>
  <c r="AP205" i="1"/>
  <c r="AQ205" i="1"/>
  <c r="AR205" i="1"/>
  <c r="AT205" i="1"/>
  <c r="AW205" i="1"/>
  <c r="AX205" i="1"/>
  <c r="BA205" i="1"/>
  <c r="BB205" i="1"/>
  <c r="BG205" i="1"/>
  <c r="BH205" i="1"/>
  <c r="BI205" i="1"/>
  <c r="BJ205" i="1"/>
  <c r="BO205" i="1"/>
  <c r="AM206" i="1"/>
  <c r="BF206" i="1" s="1"/>
  <c r="AO206" i="1"/>
  <c r="AZ206" i="1" s="1"/>
  <c r="AP206" i="1"/>
  <c r="AQ206" i="1"/>
  <c r="AR206" i="1"/>
  <c r="AT206" i="1"/>
  <c r="AW206" i="1"/>
  <c r="AX206" i="1"/>
  <c r="BA206" i="1"/>
  <c r="BB206" i="1"/>
  <c r="BG206" i="1"/>
  <c r="BH206" i="1"/>
  <c r="BI206" i="1"/>
  <c r="BJ206" i="1"/>
  <c r="BO206" i="1"/>
  <c r="AM207" i="1"/>
  <c r="BF207" i="1" s="1"/>
  <c r="AO207" i="1"/>
  <c r="AZ207" i="1" s="1"/>
  <c r="AP207" i="1"/>
  <c r="AQ207" i="1"/>
  <c r="AR207" i="1"/>
  <c r="AT207" i="1"/>
  <c r="AW207" i="1"/>
  <c r="AX207" i="1"/>
  <c r="BA207" i="1"/>
  <c r="BB207" i="1"/>
  <c r="BG207" i="1"/>
  <c r="BH207" i="1"/>
  <c r="BI207" i="1"/>
  <c r="BJ207" i="1"/>
  <c r="BO207" i="1"/>
  <c r="AM208" i="1"/>
  <c r="BF208" i="1" s="1"/>
  <c r="AO208" i="1"/>
  <c r="AZ208" i="1" s="1"/>
  <c r="AP208" i="1"/>
  <c r="AQ208" i="1"/>
  <c r="AR208" i="1"/>
  <c r="AT208" i="1"/>
  <c r="AW208" i="1"/>
  <c r="AX208" i="1"/>
  <c r="BA208" i="1"/>
  <c r="BB208" i="1"/>
  <c r="BG208" i="1"/>
  <c r="BH208" i="1"/>
  <c r="BI208" i="1"/>
  <c r="BJ208" i="1"/>
  <c r="BO208" i="1"/>
  <c r="AM209" i="1"/>
  <c r="BF209" i="1" s="1"/>
  <c r="AO209" i="1"/>
  <c r="AY209" i="1" s="1"/>
  <c r="AP209" i="1"/>
  <c r="AQ209" i="1"/>
  <c r="AR209" i="1"/>
  <c r="AT209" i="1"/>
  <c r="AW209" i="1"/>
  <c r="AX209" i="1"/>
  <c r="BA209" i="1"/>
  <c r="BB209" i="1"/>
  <c r="BG209" i="1"/>
  <c r="BH209" i="1"/>
  <c r="BI209" i="1"/>
  <c r="BJ209" i="1"/>
  <c r="BO209" i="1"/>
  <c r="AM210" i="1"/>
  <c r="BF210" i="1" s="1"/>
  <c r="AO210" i="1"/>
  <c r="AZ210" i="1" s="1"/>
  <c r="AP210" i="1"/>
  <c r="AQ210" i="1"/>
  <c r="AR210" i="1"/>
  <c r="AT210" i="1"/>
  <c r="AW210" i="1"/>
  <c r="AX210" i="1"/>
  <c r="BA210" i="1"/>
  <c r="BB210" i="1"/>
  <c r="BG210" i="1"/>
  <c r="BH210" i="1"/>
  <c r="BI210" i="1"/>
  <c r="BJ210" i="1"/>
  <c r="BO210" i="1"/>
  <c r="BP203" i="1"/>
  <c r="BP204" i="1"/>
  <c r="BP205" i="1"/>
  <c r="BP206" i="1"/>
  <c r="BP207" i="1"/>
  <c r="BP208" i="1"/>
  <c r="BP209" i="1"/>
  <c r="BP210" i="1"/>
  <c r="BP202" i="1"/>
  <c r="BP201" i="1"/>
  <c r="AM189" i="1"/>
  <c r="BF189" i="1" s="1"/>
  <c r="AO189" i="1"/>
  <c r="AY189" i="1" s="1"/>
  <c r="AP189" i="1"/>
  <c r="AQ189" i="1"/>
  <c r="AR189" i="1"/>
  <c r="AT189" i="1"/>
  <c r="AW189" i="1"/>
  <c r="AX189" i="1"/>
  <c r="BA189" i="1"/>
  <c r="BB189" i="1"/>
  <c r="BG189" i="1"/>
  <c r="BI189" i="1"/>
  <c r="BJ189" i="1"/>
  <c r="AM190" i="1"/>
  <c r="BF190" i="1" s="1"/>
  <c r="AO190" i="1"/>
  <c r="AY190" i="1" s="1"/>
  <c r="AP190" i="1"/>
  <c r="AQ190" i="1"/>
  <c r="AR190" i="1"/>
  <c r="AT190" i="1"/>
  <c r="AW190" i="1"/>
  <c r="AX190" i="1"/>
  <c r="BA190" i="1"/>
  <c r="BB190" i="1"/>
  <c r="BG190" i="1"/>
  <c r="BI190" i="1"/>
  <c r="BJ190" i="1"/>
  <c r="AM191" i="1"/>
  <c r="BF191" i="1" s="1"/>
  <c r="AO191" i="1"/>
  <c r="AY191" i="1" s="1"/>
  <c r="AP191" i="1"/>
  <c r="AQ191" i="1"/>
  <c r="AR191" i="1"/>
  <c r="AT191" i="1"/>
  <c r="AW191" i="1"/>
  <c r="AX191" i="1"/>
  <c r="BA191" i="1"/>
  <c r="BB191" i="1"/>
  <c r="BG191" i="1"/>
  <c r="BI191" i="1"/>
  <c r="BJ191" i="1"/>
  <c r="AM195" i="1"/>
  <c r="BF195" i="1" s="1"/>
  <c r="AO195" i="1"/>
  <c r="AY195" i="1" s="1"/>
  <c r="AP195" i="1"/>
  <c r="AQ195" i="1"/>
  <c r="AR195" i="1"/>
  <c r="AT195" i="1"/>
  <c r="AW195" i="1"/>
  <c r="AX195" i="1"/>
  <c r="BA195" i="1"/>
  <c r="BB195" i="1"/>
  <c r="BG195" i="1"/>
  <c r="BH195" i="1"/>
  <c r="BI195" i="1"/>
  <c r="BJ195" i="1"/>
  <c r="AM196" i="1"/>
  <c r="BF196" i="1" s="1"/>
  <c r="AO196" i="1"/>
  <c r="AY196" i="1" s="1"/>
  <c r="AP196" i="1"/>
  <c r="AQ196" i="1"/>
  <c r="AR196" i="1"/>
  <c r="AT196" i="1"/>
  <c r="AW196" i="1"/>
  <c r="AX196" i="1"/>
  <c r="BA196" i="1"/>
  <c r="BB196" i="1"/>
  <c r="BG196" i="1"/>
  <c r="BH196" i="1"/>
  <c r="BI196" i="1"/>
  <c r="BJ196" i="1"/>
  <c r="AM197" i="1"/>
  <c r="BF197" i="1" s="1"/>
  <c r="AO197" i="1"/>
  <c r="AZ197" i="1" s="1"/>
  <c r="AP197" i="1"/>
  <c r="AQ197" i="1"/>
  <c r="AR197" i="1"/>
  <c r="AT197" i="1"/>
  <c r="AW197" i="1"/>
  <c r="AX197" i="1"/>
  <c r="BA197" i="1"/>
  <c r="BB197" i="1"/>
  <c r="BG197" i="1"/>
  <c r="BH197" i="1"/>
  <c r="BI197" i="1"/>
  <c r="BJ197" i="1"/>
  <c r="BP196" i="1"/>
  <c r="BP197" i="1"/>
  <c r="BP195" i="1"/>
  <c r="BP191" i="1"/>
  <c r="BP190" i="1"/>
  <c r="BP189" i="1"/>
  <c r="J11" i="8" l="1"/>
  <c r="J27" i="8"/>
  <c r="S7" i="8"/>
  <c r="G15" i="8"/>
  <c r="J26" i="8"/>
  <c r="G27" i="8"/>
  <c r="J21" i="8"/>
  <c r="J18" i="8"/>
  <c r="G9" i="8"/>
  <c r="G5" i="8"/>
  <c r="J15" i="8"/>
  <c r="S25" i="8"/>
  <c r="AE21" i="8"/>
  <c r="J5" i="8"/>
  <c r="S26" i="8"/>
  <c r="J3" i="8"/>
  <c r="G21" i="8"/>
  <c r="G18" i="8"/>
  <c r="S6" i="8"/>
  <c r="S18" i="8"/>
  <c r="G3" i="8"/>
  <c r="S3" i="8"/>
  <c r="S16" i="8"/>
  <c r="S27" i="8"/>
  <c r="AE4" i="8"/>
  <c r="J17" i="8"/>
  <c r="AE7" i="8"/>
  <c r="AE9" i="8"/>
  <c r="G11" i="8"/>
  <c r="S4" i="8"/>
  <c r="S8" i="8"/>
  <c r="G13" i="8"/>
  <c r="S17" i="8"/>
  <c r="J30" i="8"/>
  <c r="J4" i="8"/>
  <c r="AE24" i="8"/>
  <c r="G17" i="8"/>
  <c r="AE12" i="8"/>
  <c r="AE8" i="8"/>
  <c r="J7" i="8"/>
  <c r="S11" i="8"/>
  <c r="J9" i="8"/>
  <c r="J13" i="8"/>
  <c r="S21" i="8"/>
  <c r="S30" i="8"/>
  <c r="G4" i="8"/>
  <c r="S24" i="8"/>
  <c r="J16" i="8"/>
  <c r="S12" i="8"/>
  <c r="AE10" i="8"/>
  <c r="J8" i="8"/>
  <c r="G7" i="8"/>
  <c r="S9" i="8"/>
  <c r="S13" i="8"/>
  <c r="AE30" i="8"/>
  <c r="AE26" i="8"/>
  <c r="J24" i="8"/>
  <c r="G16" i="8"/>
  <c r="J12" i="8"/>
  <c r="J10" i="8"/>
  <c r="G8" i="8"/>
  <c r="J6" i="8"/>
  <c r="G25" i="8"/>
  <c r="S5" i="8"/>
  <c r="S10" i="8"/>
  <c r="J25" i="8"/>
  <c r="G30" i="8"/>
  <c r="G26" i="8"/>
  <c r="G24" i="8"/>
  <c r="AE18" i="8"/>
  <c r="G12" i="8"/>
  <c r="G10" i="8"/>
  <c r="G6" i="8"/>
  <c r="J14" i="8"/>
  <c r="S14" i="8"/>
  <c r="G14" i="8"/>
  <c r="AX200" i="1"/>
  <c r="AX226" i="1"/>
  <c r="BA226" i="1"/>
  <c r="BA200" i="1"/>
  <c r="B14" i="8"/>
  <c r="B11" i="8"/>
  <c r="B7" i="8"/>
  <c r="B6" i="8"/>
  <c r="B10" i="8"/>
  <c r="B5" i="8"/>
  <c r="B9" i="8"/>
  <c r="B16" i="8"/>
  <c r="B13" i="8"/>
  <c r="B8" i="8"/>
  <c r="B4" i="8"/>
  <c r="B15" i="8"/>
  <c r="B12" i="8"/>
  <c r="B3" i="8"/>
  <c r="B18" i="8"/>
  <c r="AY44" i="1"/>
  <c r="AN44" i="1" s="1"/>
  <c r="BK44" i="1" s="1"/>
  <c r="AY226" i="1"/>
  <c r="AZ200" i="1"/>
  <c r="AP222" i="1"/>
  <c r="BA222" i="1"/>
  <c r="BI222" i="1"/>
  <c r="BD222" i="1"/>
  <c r="BP222" i="1"/>
  <c r="AW222" i="1"/>
  <c r="AU222" i="1"/>
  <c r="BF222" i="1"/>
  <c r="BO222" i="1"/>
  <c r="AX222" i="1"/>
  <c r="AO222" i="1"/>
  <c r="AQ222" i="1"/>
  <c r="BG222" i="1"/>
  <c r="AR222" i="1"/>
  <c r="BH222" i="1"/>
  <c r="AT222" i="1"/>
  <c r="BB222" i="1"/>
  <c r="BJ222" i="1"/>
  <c r="AY21" i="1"/>
  <c r="BC21" i="1" s="1"/>
  <c r="AZ218" i="1"/>
  <c r="BC218" i="1" s="1"/>
  <c r="AY221" i="1"/>
  <c r="BC221" i="1" s="1"/>
  <c r="AY216" i="1"/>
  <c r="BC216" i="1" s="1"/>
  <c r="AZ215" i="1"/>
  <c r="AN215" i="1" s="1"/>
  <c r="AZ219" i="1"/>
  <c r="AY219" i="1"/>
  <c r="AY220" i="1"/>
  <c r="BC220" i="1" s="1"/>
  <c r="AY217" i="1"/>
  <c r="BC217" i="1" s="1"/>
  <c r="AY214" i="1"/>
  <c r="BC214" i="1" s="1"/>
  <c r="AZ213" i="1"/>
  <c r="BC213" i="1" s="1"/>
  <c r="AY197" i="1"/>
  <c r="BC197" i="1" s="1"/>
  <c r="AZ196" i="1"/>
  <c r="AN196" i="1" s="1"/>
  <c r="AY206" i="1"/>
  <c r="BC206" i="1" s="1"/>
  <c r="AY207" i="1"/>
  <c r="BC207" i="1" s="1"/>
  <c r="AY210" i="1"/>
  <c r="BC210" i="1" s="1"/>
  <c r="AY208" i="1"/>
  <c r="AN208" i="1" s="1"/>
  <c r="AY204" i="1"/>
  <c r="BC204" i="1" s="1"/>
  <c r="AZ202" i="1"/>
  <c r="BC202" i="1" s="1"/>
  <c r="AY203" i="1"/>
  <c r="AN203" i="1" s="1"/>
  <c r="AZ191" i="1"/>
  <c r="AN191" i="1" s="1"/>
  <c r="BN191" i="1" s="1"/>
  <c r="AZ190" i="1"/>
  <c r="BC190" i="1" s="1"/>
  <c r="AZ201" i="1"/>
  <c r="BC201" i="1" s="1"/>
  <c r="AZ209" i="1"/>
  <c r="BC209" i="1" s="1"/>
  <c r="AZ205" i="1"/>
  <c r="BC205" i="1" s="1"/>
  <c r="AZ189" i="1"/>
  <c r="BC189" i="1" s="1"/>
  <c r="AZ195" i="1"/>
  <c r="AN195" i="1" s="1"/>
  <c r="J19" i="8" l="1"/>
  <c r="G19" i="8"/>
  <c r="V18" i="8"/>
  <c r="F18" i="8"/>
  <c r="K18" i="8"/>
  <c r="U18" i="8"/>
  <c r="AD18" i="8"/>
  <c r="E18" i="8"/>
  <c r="R18" i="8"/>
  <c r="C18" i="8"/>
  <c r="W18" i="8"/>
  <c r="X18" i="8"/>
  <c r="I18" i="8"/>
  <c r="D18" i="8"/>
  <c r="H18" i="8"/>
  <c r="T18" i="8"/>
  <c r="BC200" i="1"/>
  <c r="BC226" i="1"/>
  <c r="BC219" i="1"/>
  <c r="BC44" i="1"/>
  <c r="BC203" i="1"/>
  <c r="BC215" i="1"/>
  <c r="BC196" i="1"/>
  <c r="BC208" i="1"/>
  <c r="BC191" i="1"/>
  <c r="BC195" i="1"/>
  <c r="O18" i="8"/>
  <c r="P18" i="8"/>
  <c r="L18" i="8"/>
  <c r="AC18" i="8"/>
  <c r="AN226" i="1"/>
  <c r="BK226" i="1" s="1"/>
  <c r="BN44" i="1"/>
  <c r="BM44" i="1"/>
  <c r="BO44" i="1"/>
  <c r="AN221" i="1"/>
  <c r="BN221" i="1" s="1"/>
  <c r="AN200" i="1"/>
  <c r="BK200" i="1" s="1"/>
  <c r="AN216" i="1"/>
  <c r="BN216" i="1" s="1"/>
  <c r="AY222" i="1"/>
  <c r="AN213" i="1"/>
  <c r="AZ222" i="1"/>
  <c r="AN21" i="1"/>
  <c r="AN219" i="1"/>
  <c r="BM219" i="1" s="1"/>
  <c r="AN218" i="1"/>
  <c r="BM215" i="1"/>
  <c r="BN215" i="1"/>
  <c r="AN220" i="1"/>
  <c r="AN214" i="1"/>
  <c r="AN217" i="1"/>
  <c r="AN197" i="1"/>
  <c r="AN204" i="1"/>
  <c r="AN206" i="1"/>
  <c r="BN206" i="1" s="1"/>
  <c r="AN207" i="1"/>
  <c r="BN207" i="1" s="1"/>
  <c r="AN210" i="1"/>
  <c r="BN208" i="1"/>
  <c r="BM208" i="1"/>
  <c r="AN202" i="1"/>
  <c r="BN202" i="1" s="1"/>
  <c r="AN189" i="1"/>
  <c r="BM191" i="1"/>
  <c r="BM203" i="1"/>
  <c r="AN190" i="1"/>
  <c r="BO191" i="1"/>
  <c r="AN209" i="1"/>
  <c r="BN209" i="1" s="1"/>
  <c r="BN203" i="1"/>
  <c r="AN205" i="1"/>
  <c r="AN201" i="1"/>
  <c r="BM195" i="1"/>
  <c r="BN195" i="1"/>
  <c r="BO195" i="1"/>
  <c r="BO196" i="1"/>
  <c r="BM196" i="1"/>
  <c r="BN196" i="1"/>
  <c r="N18" i="8" l="1"/>
  <c r="M18" i="8"/>
  <c r="BM221" i="1"/>
  <c r="BM226" i="1"/>
  <c r="BO226" i="1"/>
  <c r="BO21" i="1"/>
  <c r="BK21" i="1"/>
  <c r="BO190" i="1"/>
  <c r="BK190" i="1"/>
  <c r="BM189" i="1"/>
  <c r="BK189" i="1"/>
  <c r="BM213" i="1"/>
  <c r="BK222" i="1"/>
  <c r="BO200" i="1"/>
  <c r="BN226" i="1"/>
  <c r="BM200" i="1"/>
  <c r="BM216" i="1"/>
  <c r="BN200" i="1"/>
  <c r="BN213" i="1"/>
  <c r="BN219" i="1"/>
  <c r="BO197" i="1"/>
  <c r="BN21" i="1"/>
  <c r="BC222" i="1"/>
  <c r="AN222" i="1"/>
  <c r="BM21" i="1"/>
  <c r="BN218" i="1"/>
  <c r="BM218" i="1"/>
  <c r="BN217" i="1"/>
  <c r="BM217" i="1"/>
  <c r="BN220" i="1"/>
  <c r="BM220" i="1"/>
  <c r="BN214" i="1"/>
  <c r="BM214" i="1"/>
  <c r="BN197" i="1"/>
  <c r="BM197" i="1"/>
  <c r="BM190" i="1"/>
  <c r="BN190" i="1"/>
  <c r="BM204" i="1"/>
  <c r="BN204" i="1"/>
  <c r="BO189" i="1"/>
  <c r="BN189" i="1"/>
  <c r="BM206" i="1"/>
  <c r="BN210" i="1"/>
  <c r="BM210" i="1"/>
  <c r="BM207" i="1"/>
  <c r="BN205" i="1"/>
  <c r="BM202" i="1"/>
  <c r="BM209" i="1"/>
  <c r="BM205" i="1"/>
  <c r="BM201" i="1"/>
  <c r="BN201" i="1"/>
  <c r="Q18" i="8" l="1"/>
  <c r="Y18" i="8"/>
  <c r="BM222" i="1"/>
  <c r="BN222" i="1"/>
  <c r="AA18" i="8" l="1"/>
  <c r="AB18" i="8"/>
  <c r="G212" i="1"/>
  <c r="G228" i="1"/>
  <c r="G234" i="1"/>
  <c r="G244" i="1"/>
  <c r="G251" i="1"/>
  <c r="G259" i="1"/>
  <c r="G265" i="1"/>
  <c r="AM51" i="1"/>
  <c r="BF51" i="1" s="1"/>
  <c r="AO51" i="1"/>
  <c r="AY51" i="1" s="1"/>
  <c r="AP51" i="1"/>
  <c r="AQ51" i="1"/>
  <c r="AR51" i="1"/>
  <c r="AT51" i="1"/>
  <c r="AW51" i="1"/>
  <c r="AX51" i="1"/>
  <c r="BA51" i="1"/>
  <c r="BB51" i="1"/>
  <c r="BG51" i="1"/>
  <c r="BH51" i="1"/>
  <c r="BI51" i="1"/>
  <c r="BJ51" i="1"/>
  <c r="AM52" i="1"/>
  <c r="BF52" i="1" s="1"/>
  <c r="AO52" i="1"/>
  <c r="BA52" i="1" s="1"/>
  <c r="AP52" i="1"/>
  <c r="AQ52" i="1"/>
  <c r="AR52" i="1"/>
  <c r="AT52" i="1"/>
  <c r="AW52" i="1"/>
  <c r="BB52" i="1"/>
  <c r="BG52" i="1"/>
  <c r="BH52" i="1"/>
  <c r="BI52" i="1"/>
  <c r="BJ52" i="1"/>
  <c r="AM50" i="1"/>
  <c r="BF50" i="1" s="1"/>
  <c r="AO50" i="1"/>
  <c r="AY50" i="1" s="1"/>
  <c r="AP50" i="1"/>
  <c r="AQ50" i="1"/>
  <c r="AR50" i="1"/>
  <c r="AT50" i="1"/>
  <c r="AW50" i="1"/>
  <c r="AX50" i="1"/>
  <c r="BA50" i="1"/>
  <c r="BB50" i="1"/>
  <c r="BG50" i="1"/>
  <c r="BI50" i="1"/>
  <c r="BJ50" i="1"/>
  <c r="AM53" i="1"/>
  <c r="BF53" i="1" s="1"/>
  <c r="AO53" i="1"/>
  <c r="AZ53" i="1" s="1"/>
  <c r="AP53" i="1"/>
  <c r="AQ53" i="1"/>
  <c r="AR53" i="1"/>
  <c r="AT53" i="1"/>
  <c r="AW53" i="1"/>
  <c r="BB53" i="1"/>
  <c r="BG53" i="1"/>
  <c r="BI53" i="1"/>
  <c r="BJ53" i="1"/>
  <c r="BP50" i="1"/>
  <c r="BP51" i="1"/>
  <c r="AM257" i="1"/>
  <c r="BF257" i="1" s="1"/>
  <c r="AO257" i="1"/>
  <c r="AZ257" i="1" s="1"/>
  <c r="AP257" i="1"/>
  <c r="AQ257" i="1"/>
  <c r="AR257" i="1"/>
  <c r="AT257" i="1"/>
  <c r="AW257" i="1"/>
  <c r="AX257" i="1"/>
  <c r="BA257" i="1"/>
  <c r="BB257" i="1"/>
  <c r="BG257" i="1"/>
  <c r="BH257" i="1"/>
  <c r="BI257" i="1"/>
  <c r="BJ257" i="1"/>
  <c r="BP257" i="1"/>
  <c r="B24" i="8" l="1"/>
  <c r="B21" i="8"/>
  <c r="B30" i="8"/>
  <c r="B17" i="8"/>
  <c r="B27" i="8"/>
  <c r="B26" i="8"/>
  <c r="B25" i="8"/>
  <c r="AY53" i="1"/>
  <c r="AX53" i="1"/>
  <c r="AZ52" i="1"/>
  <c r="AY52" i="1"/>
  <c r="AX52" i="1"/>
  <c r="AZ50" i="1"/>
  <c r="BC50" i="1" s="1"/>
  <c r="BA53" i="1"/>
  <c r="AZ51" i="1"/>
  <c r="AN51" i="1" s="1"/>
  <c r="BK51" i="1" s="1"/>
  <c r="AY257" i="1"/>
  <c r="BC257" i="1" s="1"/>
  <c r="BC52" i="1" l="1"/>
  <c r="BC53" i="1"/>
  <c r="BC51" i="1"/>
  <c r="AN50" i="1"/>
  <c r="BM51" i="1"/>
  <c r="BN51" i="1"/>
  <c r="BO51" i="1"/>
  <c r="AN53" i="1"/>
  <c r="BK53" i="1" s="1"/>
  <c r="AN52" i="1"/>
  <c r="BK52" i="1" s="1"/>
  <c r="AN257" i="1"/>
  <c r="BN50" i="1" l="1"/>
  <c r="BK50" i="1"/>
  <c r="BO257" i="1"/>
  <c r="BM50" i="1"/>
  <c r="BN257" i="1"/>
  <c r="BO50" i="1"/>
  <c r="BM257" i="1"/>
  <c r="BO52" i="1"/>
  <c r="BM52" i="1"/>
  <c r="BN52" i="1"/>
  <c r="BM53" i="1"/>
  <c r="BN53" i="1"/>
  <c r="BO53" i="1"/>
  <c r="Y211" i="1" l="1"/>
  <c r="W211" i="1"/>
  <c r="Y61" i="1"/>
  <c r="W61" i="1"/>
  <c r="AM165" i="1"/>
  <c r="BF165" i="1" s="1"/>
  <c r="AP165" i="1"/>
  <c r="AQ165" i="1"/>
  <c r="AR165" i="1"/>
  <c r="AT165" i="1"/>
  <c r="AW165" i="1"/>
  <c r="AX165" i="1"/>
  <c r="BA165" i="1"/>
  <c r="BB165" i="1"/>
  <c r="BG165" i="1"/>
  <c r="BI165" i="1"/>
  <c r="BJ165" i="1"/>
  <c r="X165" i="1" a="1"/>
  <c r="X165" i="1" s="1"/>
  <c r="Y165" i="1"/>
  <c r="W165" i="1" s="1"/>
  <c r="BP165" i="1"/>
  <c r="AM36" i="1"/>
  <c r="BF36" i="1" s="1"/>
  <c r="AO36" i="1"/>
  <c r="AZ36" i="1" s="1"/>
  <c r="AP36" i="1"/>
  <c r="AQ36" i="1"/>
  <c r="AR36" i="1"/>
  <c r="AT36" i="1"/>
  <c r="AW36" i="1"/>
  <c r="AX36" i="1"/>
  <c r="BA36" i="1"/>
  <c r="BB36" i="1"/>
  <c r="BG36" i="1"/>
  <c r="BI36" i="1"/>
  <c r="BJ36" i="1"/>
  <c r="AM37" i="1"/>
  <c r="BF37" i="1" s="1"/>
  <c r="AO37" i="1"/>
  <c r="AY37" i="1" s="1"/>
  <c r="AP37" i="1"/>
  <c r="AQ37" i="1"/>
  <c r="AR37" i="1"/>
  <c r="AT37" i="1"/>
  <c r="AW37" i="1"/>
  <c r="BB37" i="1"/>
  <c r="BG37" i="1"/>
  <c r="BI37" i="1"/>
  <c r="BJ37" i="1"/>
  <c r="AM39" i="1"/>
  <c r="BF39" i="1" s="1"/>
  <c r="AO39" i="1"/>
  <c r="BA39" i="1" s="1"/>
  <c r="AP39" i="1"/>
  <c r="AQ39" i="1"/>
  <c r="AR39" i="1"/>
  <c r="AT39" i="1"/>
  <c r="AW39" i="1"/>
  <c r="BB39" i="1"/>
  <c r="BG39" i="1"/>
  <c r="BI39" i="1"/>
  <c r="BJ39" i="1"/>
  <c r="AM40" i="1"/>
  <c r="BF40" i="1" s="1"/>
  <c r="AO40" i="1"/>
  <c r="AP40" i="1"/>
  <c r="AQ40" i="1"/>
  <c r="AR40" i="1"/>
  <c r="AT40" i="1"/>
  <c r="AW40" i="1"/>
  <c r="AX40" i="1"/>
  <c r="BA40" i="1"/>
  <c r="BB40" i="1"/>
  <c r="BG40" i="1"/>
  <c r="BI40" i="1"/>
  <c r="BJ40" i="1"/>
  <c r="AM41" i="1"/>
  <c r="BF41" i="1" s="1"/>
  <c r="AO41" i="1"/>
  <c r="AP41" i="1"/>
  <c r="AQ41" i="1"/>
  <c r="AR41" i="1"/>
  <c r="AT41" i="1"/>
  <c r="AW41" i="1"/>
  <c r="AX41" i="1"/>
  <c r="BA41" i="1"/>
  <c r="BB41" i="1"/>
  <c r="BG41" i="1"/>
  <c r="BI41" i="1"/>
  <c r="BJ41" i="1"/>
  <c r="AM42" i="1"/>
  <c r="BF42" i="1" s="1"/>
  <c r="AO42" i="1"/>
  <c r="AZ42" i="1" s="1"/>
  <c r="AP42" i="1"/>
  <c r="AQ42" i="1"/>
  <c r="AR42" i="1"/>
  <c r="AT42" i="1"/>
  <c r="AW42" i="1"/>
  <c r="AX42" i="1"/>
  <c r="BA42" i="1"/>
  <c r="BB42" i="1"/>
  <c r="BG42" i="1"/>
  <c r="BI42" i="1"/>
  <c r="BJ42" i="1"/>
  <c r="AM43" i="1"/>
  <c r="BF43" i="1" s="1"/>
  <c r="AO43" i="1"/>
  <c r="AZ43" i="1" s="1"/>
  <c r="AP43" i="1"/>
  <c r="AQ43" i="1"/>
  <c r="AR43" i="1"/>
  <c r="AT43" i="1"/>
  <c r="AW43" i="1"/>
  <c r="AX43" i="1"/>
  <c r="BA43" i="1"/>
  <c r="BB43" i="1"/>
  <c r="BG43" i="1"/>
  <c r="BI43" i="1"/>
  <c r="BJ43" i="1"/>
  <c r="BJ35" i="1"/>
  <c r="BI35" i="1"/>
  <c r="BG35" i="1"/>
  <c r="BB35" i="1"/>
  <c r="BA35" i="1"/>
  <c r="AX35" i="1"/>
  <c r="AW35" i="1"/>
  <c r="AT35" i="1"/>
  <c r="AR35" i="1"/>
  <c r="AQ35" i="1"/>
  <c r="AP35" i="1"/>
  <c r="AO35" i="1"/>
  <c r="AM35" i="1"/>
  <c r="BF35" i="1" s="1"/>
  <c r="BP43" i="1"/>
  <c r="BP42" i="1"/>
  <c r="BP41" i="1"/>
  <c r="BP40" i="1"/>
  <c r="BP36" i="1"/>
  <c r="BP35" i="1"/>
  <c r="F59" i="9"/>
  <c r="E59" i="9" s="1"/>
  <c r="I59" i="9" s="1"/>
  <c r="I60" i="9" s="1"/>
  <c r="G35" i="7" s="1"/>
  <c r="BQ258" i="1" s="1"/>
  <c r="BQ259" i="1" s="1"/>
  <c r="F57" i="9"/>
  <c r="E57" i="9"/>
  <c r="I57" i="9" s="1"/>
  <c r="I58" i="9" s="1"/>
  <c r="G33" i="7" s="1"/>
  <c r="BQ243" i="1" s="1"/>
  <c r="BQ244" i="1" s="1"/>
  <c r="F55" i="9"/>
  <c r="E55" i="9" s="1"/>
  <c r="I55" i="9" s="1"/>
  <c r="I56" i="9" s="1"/>
  <c r="G27" i="7" s="1"/>
  <c r="BQ211" i="1" s="1"/>
  <c r="BQ212" i="1" s="1"/>
  <c r="F53" i="9"/>
  <c r="E53" i="9" s="1"/>
  <c r="I53" i="9" s="1"/>
  <c r="F52" i="9"/>
  <c r="E52" i="9" s="1"/>
  <c r="I52" i="9" s="1"/>
  <c r="F50" i="9"/>
  <c r="E50" i="9" s="1"/>
  <c r="I50" i="9" s="1"/>
  <c r="F49" i="9"/>
  <c r="E49" i="9" s="1"/>
  <c r="I49" i="9" s="1"/>
  <c r="F48" i="9"/>
  <c r="E48" i="9" s="1"/>
  <c r="I48" i="9" s="1"/>
  <c r="F47" i="9"/>
  <c r="E47" i="9" s="1"/>
  <c r="I47" i="9" s="1"/>
  <c r="F46" i="9"/>
  <c r="E46" i="9" s="1"/>
  <c r="I46" i="9" s="1"/>
  <c r="F44" i="9"/>
  <c r="E44" i="9" s="1"/>
  <c r="I44" i="9" s="1"/>
  <c r="F43" i="9"/>
  <c r="E43" i="9" s="1"/>
  <c r="I43" i="9" s="1"/>
  <c r="F42" i="9"/>
  <c r="E42" i="9" s="1"/>
  <c r="I42" i="9" s="1"/>
  <c r="F41" i="9"/>
  <c r="E41" i="9" s="1"/>
  <c r="I41" i="9" s="1"/>
  <c r="F39" i="9"/>
  <c r="E39" i="9" s="1"/>
  <c r="I39" i="9" s="1"/>
  <c r="I40" i="9" s="1"/>
  <c r="G23" i="7" s="1"/>
  <c r="BQ132" i="1" s="1"/>
  <c r="BQ133" i="1" s="1"/>
  <c r="F37" i="9"/>
  <c r="E37" i="9" s="1"/>
  <c r="I37" i="9" s="1"/>
  <c r="E36" i="9"/>
  <c r="I36" i="9" s="1"/>
  <c r="F35" i="9"/>
  <c r="E35" i="9" s="1"/>
  <c r="I35" i="9" s="1"/>
  <c r="F34" i="9"/>
  <c r="E34" i="9" s="1"/>
  <c r="I34" i="9" s="1"/>
  <c r="F33" i="9"/>
  <c r="E33" i="9" s="1"/>
  <c r="I33" i="9" s="1"/>
  <c r="F32" i="9"/>
  <c r="E32" i="9" s="1"/>
  <c r="I32" i="9" s="1"/>
  <c r="E31" i="9"/>
  <c r="I31" i="9" s="1"/>
  <c r="F30" i="9"/>
  <c r="E30" i="9"/>
  <c r="I30" i="9" s="1"/>
  <c r="F29" i="9"/>
  <c r="E29" i="9" s="1"/>
  <c r="I29" i="9" s="1"/>
  <c r="F28" i="9"/>
  <c r="E28" i="9" s="1"/>
  <c r="I28" i="9" s="1"/>
  <c r="F27" i="9"/>
  <c r="E27" i="9" s="1"/>
  <c r="I27" i="9" s="1"/>
  <c r="F26" i="9"/>
  <c r="E26" i="9" s="1"/>
  <c r="I26" i="9" s="1"/>
  <c r="F25" i="9"/>
  <c r="E25" i="9" s="1"/>
  <c r="I25" i="9" s="1"/>
  <c r="F24" i="9"/>
  <c r="E24" i="9" s="1"/>
  <c r="I24" i="9" s="1"/>
  <c r="E23" i="9"/>
  <c r="I23" i="9" s="1"/>
  <c r="E22" i="9"/>
  <c r="I22" i="9" s="1"/>
  <c r="E21" i="9"/>
  <c r="I21" i="9" s="1"/>
  <c r="F19" i="9"/>
  <c r="E19" i="9" s="1"/>
  <c r="I19" i="9" s="1"/>
  <c r="F18" i="9"/>
  <c r="E18" i="9" s="1"/>
  <c r="I18" i="9" s="1"/>
  <c r="F17" i="9"/>
  <c r="E17" i="9" s="1"/>
  <c r="I17" i="9" s="1"/>
  <c r="E16" i="9"/>
  <c r="I16" i="9" s="1"/>
  <c r="E15" i="9"/>
  <c r="I15" i="9" s="1"/>
  <c r="F13" i="9"/>
  <c r="E13" i="9" s="1"/>
  <c r="I13" i="9" s="1"/>
  <c r="I14" i="9" s="1"/>
  <c r="G18" i="7" s="1"/>
  <c r="F11" i="9"/>
  <c r="E11" i="9" s="1"/>
  <c r="I11" i="9" s="1"/>
  <c r="I12" i="9" s="1"/>
  <c r="G11" i="7" s="1"/>
  <c r="F9" i="9"/>
  <c r="E9" i="9"/>
  <c r="I9" i="9" s="1"/>
  <c r="I10" i="9" s="1"/>
  <c r="G9" i="7" s="1"/>
  <c r="BQ25" i="1" s="1"/>
  <c r="BQ26" i="1" s="1"/>
  <c r="F7" i="9"/>
  <c r="E7" i="9" s="1"/>
  <c r="I7" i="9" s="1"/>
  <c r="I8" i="9" s="1"/>
  <c r="G8" i="7" s="1"/>
  <c r="BQ17" i="1" s="1"/>
  <c r="BQ18" i="1" s="1"/>
  <c r="F5" i="9"/>
  <c r="E5" i="9" s="1"/>
  <c r="I5" i="9" s="1"/>
  <c r="I6" i="9" s="1"/>
  <c r="G7" i="7" s="1"/>
  <c r="F3" i="9"/>
  <c r="E3" i="9" s="1"/>
  <c r="I3" i="9" s="1"/>
  <c r="F2" i="9"/>
  <c r="E2" i="9" s="1"/>
  <c r="I2" i="9" s="1"/>
  <c r="I45" i="9" l="1"/>
  <c r="G24" i="7" s="1"/>
  <c r="BQ171" i="1" s="1"/>
  <c r="BQ172" i="1" s="1"/>
  <c r="AE25" i="8"/>
  <c r="AE27" i="8"/>
  <c r="AE5" i="8"/>
  <c r="AE6" i="8"/>
  <c r="AE15" i="8"/>
  <c r="AE14" i="8"/>
  <c r="AE17" i="8"/>
  <c r="I54" i="9"/>
  <c r="G26" i="7" s="1"/>
  <c r="BQ186" i="1" s="1"/>
  <c r="BQ187" i="1" s="1"/>
  <c r="BE165" i="1"/>
  <c r="AX39" i="1"/>
  <c r="BA37" i="1"/>
  <c r="AZ39" i="1"/>
  <c r="AX37" i="1"/>
  <c r="AO165" i="1"/>
  <c r="AY165" i="1" s="1"/>
  <c r="AZ37" i="1"/>
  <c r="AY39" i="1"/>
  <c r="AY36" i="1"/>
  <c r="BC36" i="1" s="1"/>
  <c r="AY43" i="1"/>
  <c r="BC43" i="1" s="1"/>
  <c r="AZ41" i="1"/>
  <c r="AY41" i="1"/>
  <c r="AY42" i="1"/>
  <c r="BC42" i="1" s="1"/>
  <c r="AZ40" i="1"/>
  <c r="AY40" i="1"/>
  <c r="AY35" i="1"/>
  <c r="AZ35" i="1"/>
  <c r="I20" i="9"/>
  <c r="G19" i="7" s="1"/>
  <c r="BQ61" i="1" s="1"/>
  <c r="BQ62" i="1" s="1"/>
  <c r="I38" i="9"/>
  <c r="G22" i="7" s="1"/>
  <c r="BQ120" i="1" s="1"/>
  <c r="BQ121" i="1" s="1"/>
  <c r="I51" i="9"/>
  <c r="G25" i="7" s="1"/>
  <c r="I4" i="9"/>
  <c r="G4" i="7" s="1"/>
  <c r="BQ7" i="1" s="1"/>
  <c r="BQ8" i="1" s="1"/>
  <c r="AE16" i="8" l="1"/>
  <c r="AE13" i="8"/>
  <c r="AE3" i="8"/>
  <c r="AE11" i="8"/>
  <c r="BC40" i="1"/>
  <c r="BC35" i="1"/>
  <c r="BC41" i="1"/>
  <c r="BC37" i="1"/>
  <c r="BC39" i="1"/>
  <c r="AN39" i="1"/>
  <c r="AN37" i="1"/>
  <c r="AN36" i="1"/>
  <c r="BK36" i="1" s="1"/>
  <c r="AZ165" i="1"/>
  <c r="BC165" i="1" s="1"/>
  <c r="AN35" i="1"/>
  <c r="BK35" i="1" s="1"/>
  <c r="AN43" i="1"/>
  <c r="AN42" i="1"/>
  <c r="AN40" i="1"/>
  <c r="BK40" i="1" s="1"/>
  <c r="AN41" i="1"/>
  <c r="BK41" i="1" s="1"/>
  <c r="AE36" i="8"/>
  <c r="AE44" i="8" s="1"/>
  <c r="S36" i="8"/>
  <c r="S44" i="8" s="1"/>
  <c r="J36" i="8"/>
  <c r="J44" i="8" s="1"/>
  <c r="G36" i="8"/>
  <c r="G44" i="8" s="1"/>
  <c r="J28" i="8"/>
  <c r="J35" i="8" s="1"/>
  <c r="J43" i="8" s="1"/>
  <c r="AE22" i="8"/>
  <c r="AE34" i="8" s="1"/>
  <c r="AE42" i="8" s="1"/>
  <c r="J22" i="8"/>
  <c r="J34" i="8" s="1"/>
  <c r="J42" i="8" s="1"/>
  <c r="G22" i="8"/>
  <c r="G34" i="8" s="1"/>
  <c r="G42" i="8" s="1"/>
  <c r="B22" i="8"/>
  <c r="AE19" i="8" l="1"/>
  <c r="AE33" i="8" s="1"/>
  <c r="AE41" i="8" s="1"/>
  <c r="BO43" i="1"/>
  <c r="BK43" i="1"/>
  <c r="BM37" i="1"/>
  <c r="BK37" i="1"/>
  <c r="BO39" i="1"/>
  <c r="BK39" i="1"/>
  <c r="BO42" i="1"/>
  <c r="BK42" i="1"/>
  <c r="S28" i="8"/>
  <c r="S35" i="8" s="1"/>
  <c r="S43" i="8" s="1"/>
  <c r="S22" i="8"/>
  <c r="S34" i="8" s="1"/>
  <c r="S42" i="8" s="1"/>
  <c r="B28" i="8"/>
  <c r="AE28" i="8"/>
  <c r="AE35" i="8" s="1"/>
  <c r="AE43" i="8" s="1"/>
  <c r="G33" i="8"/>
  <c r="G41" i="8" s="1"/>
  <c r="B19" i="8"/>
  <c r="J33" i="8"/>
  <c r="J41" i="8" s="1"/>
  <c r="G28" i="8"/>
  <c r="G35" i="8" s="1"/>
  <c r="G43" i="8" s="1"/>
  <c r="BM36" i="1"/>
  <c r="BO36" i="1"/>
  <c r="BN36" i="1"/>
  <c r="BN37" i="1"/>
  <c r="BO37" i="1"/>
  <c r="BN39" i="1"/>
  <c r="AN165" i="1"/>
  <c r="BN42" i="1"/>
  <c r="BM39" i="1"/>
  <c r="BM35" i="1"/>
  <c r="BN35" i="1"/>
  <c r="BO35" i="1"/>
  <c r="BM42" i="1"/>
  <c r="BN43" i="1"/>
  <c r="BM43" i="1"/>
  <c r="BO40" i="1"/>
  <c r="BM40" i="1"/>
  <c r="BN40" i="1"/>
  <c r="BN41" i="1"/>
  <c r="BO41" i="1"/>
  <c r="BM41" i="1"/>
  <c r="J45" i="8" l="1"/>
  <c r="BN165" i="1"/>
  <c r="BK165" i="1"/>
  <c r="G45" i="8"/>
  <c r="AE45" i="8"/>
  <c r="AE37" i="8"/>
  <c r="J37" i="8"/>
  <c r="G37" i="8"/>
  <c r="BM165" i="1"/>
  <c r="BO165" i="1"/>
  <c r="B7" i="6" l="1"/>
  <c r="B6" i="6"/>
  <c r="AM247" i="1"/>
  <c r="BF247" i="1" s="1"/>
  <c r="AO247" i="1"/>
  <c r="BA247" i="1" s="1"/>
  <c r="AP247" i="1"/>
  <c r="AQ247" i="1"/>
  <c r="AR247" i="1"/>
  <c r="AT247" i="1"/>
  <c r="AW247" i="1"/>
  <c r="BB247" i="1"/>
  <c r="BG247" i="1"/>
  <c r="BI247" i="1"/>
  <c r="BJ247" i="1"/>
  <c r="BP247" i="1"/>
  <c r="Y247" i="1"/>
  <c r="W247" i="1"/>
  <c r="AM173" i="1"/>
  <c r="BF173" i="1" s="1"/>
  <c r="AO173" i="1"/>
  <c r="AP173" i="1"/>
  <c r="AQ173" i="1"/>
  <c r="AR173" i="1"/>
  <c r="AT173" i="1"/>
  <c r="AW173" i="1"/>
  <c r="AX173" i="1"/>
  <c r="BA173" i="1"/>
  <c r="BB173" i="1"/>
  <c r="BG173" i="1"/>
  <c r="BH173" i="1"/>
  <c r="BI173" i="1"/>
  <c r="BJ173" i="1"/>
  <c r="BP173" i="1"/>
  <c r="BJ264" i="1"/>
  <c r="BI264" i="1"/>
  <c r="BH264" i="1"/>
  <c r="BG264" i="1"/>
  <c r="BB264" i="1"/>
  <c r="BA264" i="1"/>
  <c r="AX264" i="1"/>
  <c r="AW264" i="1"/>
  <c r="AT264" i="1"/>
  <c r="AR264" i="1"/>
  <c r="AQ264" i="1"/>
  <c r="AP264" i="1"/>
  <c r="AO264" i="1"/>
  <c r="AM264" i="1"/>
  <c r="BF264" i="1" s="1"/>
  <c r="BP264" i="1"/>
  <c r="BJ258" i="1"/>
  <c r="BI258" i="1"/>
  <c r="BH258" i="1"/>
  <c r="BG258" i="1"/>
  <c r="BB258" i="1"/>
  <c r="BA258" i="1"/>
  <c r="AX258" i="1"/>
  <c r="AW258" i="1"/>
  <c r="AT258" i="1"/>
  <c r="AR258" i="1"/>
  <c r="AQ258" i="1"/>
  <c r="AP258" i="1"/>
  <c r="AO258" i="1"/>
  <c r="AM258" i="1"/>
  <c r="BF258" i="1" s="1"/>
  <c r="BP258" i="1"/>
  <c r="BJ250" i="1"/>
  <c r="BI250" i="1"/>
  <c r="BH250" i="1"/>
  <c r="BG250" i="1"/>
  <c r="BB250" i="1"/>
  <c r="BA250" i="1"/>
  <c r="AX250" i="1"/>
  <c r="AW250" i="1"/>
  <c r="AT250" i="1"/>
  <c r="AR250" i="1"/>
  <c r="AQ250" i="1"/>
  <c r="AP250" i="1"/>
  <c r="AO250" i="1"/>
  <c r="AY250" i="1" s="1"/>
  <c r="AM250" i="1"/>
  <c r="BF250" i="1" s="1"/>
  <c r="BP250" i="1"/>
  <c r="BJ243" i="1"/>
  <c r="BI243" i="1"/>
  <c r="BH243" i="1"/>
  <c r="BG243" i="1"/>
  <c r="BB243" i="1"/>
  <c r="BA243" i="1"/>
  <c r="AX243" i="1"/>
  <c r="AW243" i="1"/>
  <c r="AT243" i="1"/>
  <c r="AR243" i="1"/>
  <c r="AQ243" i="1"/>
  <c r="AP243" i="1"/>
  <c r="AO243" i="1"/>
  <c r="AZ243" i="1" s="1"/>
  <c r="AM243" i="1"/>
  <c r="BF243" i="1" s="1"/>
  <c r="BP243" i="1"/>
  <c r="BJ233" i="1"/>
  <c r="BI233" i="1"/>
  <c r="BH233" i="1"/>
  <c r="BG233" i="1"/>
  <c r="BB233" i="1"/>
  <c r="BA233" i="1"/>
  <c r="AX233" i="1"/>
  <c r="AW233" i="1"/>
  <c r="AT233" i="1"/>
  <c r="AR233" i="1"/>
  <c r="AQ233" i="1"/>
  <c r="AP233" i="1"/>
  <c r="AO233" i="1"/>
  <c r="AY233" i="1" s="1"/>
  <c r="AM233" i="1"/>
  <c r="BF233" i="1" s="1"/>
  <c r="BP233" i="1"/>
  <c r="BJ227" i="1"/>
  <c r="BI227" i="1"/>
  <c r="BH227" i="1"/>
  <c r="BG227" i="1"/>
  <c r="BB227" i="1"/>
  <c r="BA227" i="1"/>
  <c r="AX227" i="1"/>
  <c r="AW227" i="1"/>
  <c r="AT227" i="1"/>
  <c r="AR227" i="1"/>
  <c r="AQ227" i="1"/>
  <c r="AP227" i="1"/>
  <c r="AO227" i="1"/>
  <c r="AY227" i="1" s="1"/>
  <c r="AM227" i="1"/>
  <c r="BF227" i="1" s="1"/>
  <c r="BP227" i="1"/>
  <c r="BJ211" i="1"/>
  <c r="BI211" i="1"/>
  <c r="BH211" i="1"/>
  <c r="BG211" i="1"/>
  <c r="BB211" i="1"/>
  <c r="BA211" i="1"/>
  <c r="AX211" i="1"/>
  <c r="AW211" i="1"/>
  <c r="AT211" i="1"/>
  <c r="AR211" i="1"/>
  <c r="AQ211" i="1"/>
  <c r="AP211" i="1"/>
  <c r="AO211" i="1"/>
  <c r="AZ211" i="1" s="1"/>
  <c r="AM211" i="1"/>
  <c r="BF211" i="1" s="1"/>
  <c r="BP211" i="1"/>
  <c r="BJ186" i="1"/>
  <c r="BI186" i="1"/>
  <c r="BH186" i="1"/>
  <c r="BG186" i="1"/>
  <c r="BB186" i="1"/>
  <c r="BA186" i="1"/>
  <c r="AX186" i="1"/>
  <c r="AW186" i="1"/>
  <c r="AT186" i="1"/>
  <c r="AR186" i="1"/>
  <c r="AQ186" i="1"/>
  <c r="AP186" i="1"/>
  <c r="AO186" i="1"/>
  <c r="AM186" i="1"/>
  <c r="BF186" i="1" s="1"/>
  <c r="BP186" i="1"/>
  <c r="BJ171" i="1"/>
  <c r="BI171" i="1"/>
  <c r="BH171" i="1"/>
  <c r="BG171" i="1"/>
  <c r="BB171" i="1"/>
  <c r="BA171" i="1"/>
  <c r="AX171" i="1"/>
  <c r="AW171" i="1"/>
  <c r="AT171" i="1"/>
  <c r="AR171" i="1"/>
  <c r="AQ171" i="1"/>
  <c r="AP171" i="1"/>
  <c r="AO171" i="1"/>
  <c r="AM171" i="1"/>
  <c r="BF171" i="1" s="1"/>
  <c r="BP171" i="1"/>
  <c r="BJ132" i="1"/>
  <c r="BI132" i="1"/>
  <c r="BH132" i="1"/>
  <c r="BG132" i="1"/>
  <c r="BB132" i="1"/>
  <c r="BA132" i="1"/>
  <c r="AX132" i="1"/>
  <c r="AW132" i="1"/>
  <c r="AT132" i="1"/>
  <c r="AR132" i="1"/>
  <c r="AQ132" i="1"/>
  <c r="AP132" i="1"/>
  <c r="AO132" i="1"/>
  <c r="AZ132" i="1" s="1"/>
  <c r="AM132" i="1"/>
  <c r="BF132" i="1" s="1"/>
  <c r="BP132" i="1"/>
  <c r="BJ120" i="1"/>
  <c r="BI120" i="1"/>
  <c r="BH120" i="1"/>
  <c r="BG120" i="1"/>
  <c r="BB120" i="1"/>
  <c r="BA120" i="1"/>
  <c r="AX120" i="1"/>
  <c r="AW120" i="1"/>
  <c r="AT120" i="1"/>
  <c r="AR120" i="1"/>
  <c r="AQ120" i="1"/>
  <c r="AP120" i="1"/>
  <c r="AO120" i="1"/>
  <c r="AY120" i="1" s="1"/>
  <c r="AM120" i="1"/>
  <c r="BF120" i="1" s="1"/>
  <c r="BP120" i="1"/>
  <c r="BJ72" i="1"/>
  <c r="BI72" i="1"/>
  <c r="BH72" i="1"/>
  <c r="BG72" i="1"/>
  <c r="BB72" i="1"/>
  <c r="BA72" i="1"/>
  <c r="AX72" i="1"/>
  <c r="AW72" i="1"/>
  <c r="AT72" i="1"/>
  <c r="AR72" i="1"/>
  <c r="AQ72" i="1"/>
  <c r="AP72" i="1"/>
  <c r="AO72" i="1"/>
  <c r="AY72" i="1" s="1"/>
  <c r="AM72" i="1"/>
  <c r="BF72" i="1" s="1"/>
  <c r="BP72" i="1"/>
  <c r="BJ61" i="1"/>
  <c r="BI61" i="1"/>
  <c r="BH61" i="1"/>
  <c r="BG61" i="1"/>
  <c r="BB61" i="1"/>
  <c r="BA61" i="1"/>
  <c r="AX61" i="1"/>
  <c r="AW61" i="1"/>
  <c r="AT61" i="1"/>
  <c r="AR61" i="1"/>
  <c r="AQ61" i="1"/>
  <c r="AP61" i="1"/>
  <c r="AO61" i="1"/>
  <c r="AZ61" i="1" s="1"/>
  <c r="AM61" i="1"/>
  <c r="BF61" i="1" s="1"/>
  <c r="BP61" i="1"/>
  <c r="BJ45" i="1"/>
  <c r="BI45" i="1"/>
  <c r="BH45" i="1"/>
  <c r="BG45" i="1"/>
  <c r="BB45" i="1"/>
  <c r="BA45" i="1"/>
  <c r="AX45" i="1"/>
  <c r="AW45" i="1"/>
  <c r="AT45" i="1"/>
  <c r="AR45" i="1"/>
  <c r="AQ45" i="1"/>
  <c r="AP45" i="1"/>
  <c r="AO45" i="1"/>
  <c r="AY45" i="1" s="1"/>
  <c r="AM45" i="1"/>
  <c r="BF45" i="1" s="1"/>
  <c r="BP45" i="1"/>
  <c r="BJ33" i="1"/>
  <c r="BI33" i="1"/>
  <c r="BH33" i="1"/>
  <c r="BG33" i="1"/>
  <c r="BB33" i="1"/>
  <c r="BA33" i="1"/>
  <c r="AX33" i="1"/>
  <c r="AW33" i="1"/>
  <c r="AT33" i="1"/>
  <c r="AR33" i="1"/>
  <c r="AQ33" i="1"/>
  <c r="AP33" i="1"/>
  <c r="AO33" i="1"/>
  <c r="AZ33" i="1" s="1"/>
  <c r="AM33" i="1"/>
  <c r="BF33" i="1" s="1"/>
  <c r="BP33" i="1"/>
  <c r="BJ29" i="1"/>
  <c r="BI29" i="1"/>
  <c r="BH29" i="1"/>
  <c r="BG29" i="1"/>
  <c r="BB29" i="1"/>
  <c r="BA29" i="1"/>
  <c r="AX29" i="1"/>
  <c r="AW29" i="1"/>
  <c r="AT29" i="1"/>
  <c r="AR29" i="1"/>
  <c r="AQ29" i="1"/>
  <c r="AP29" i="1"/>
  <c r="AO29" i="1"/>
  <c r="AM29" i="1"/>
  <c r="BF29" i="1" s="1"/>
  <c r="BP29" i="1"/>
  <c r="BJ25" i="1"/>
  <c r="BI25" i="1"/>
  <c r="BH25" i="1"/>
  <c r="BG25" i="1"/>
  <c r="BB25" i="1"/>
  <c r="BA25" i="1"/>
  <c r="AX25" i="1"/>
  <c r="AW25" i="1"/>
  <c r="AT25" i="1"/>
  <c r="AR25" i="1"/>
  <c r="AQ25" i="1"/>
  <c r="AP25" i="1"/>
  <c r="AO25" i="1"/>
  <c r="AZ25" i="1" s="1"/>
  <c r="AM25" i="1"/>
  <c r="BF25" i="1" s="1"/>
  <c r="BP25" i="1"/>
  <c r="BJ17" i="1"/>
  <c r="BI17" i="1"/>
  <c r="BH17" i="1"/>
  <c r="BG17" i="1"/>
  <c r="BB17" i="1"/>
  <c r="BA17" i="1"/>
  <c r="AX17" i="1"/>
  <c r="AW17" i="1"/>
  <c r="AT17" i="1"/>
  <c r="AR17" i="1"/>
  <c r="AQ17" i="1"/>
  <c r="AP17" i="1"/>
  <c r="AO17" i="1"/>
  <c r="AM17" i="1"/>
  <c r="BF17" i="1" s="1"/>
  <c r="BP17" i="1"/>
  <c r="BJ7" i="1"/>
  <c r="BI7" i="1"/>
  <c r="BH7" i="1"/>
  <c r="BG7" i="1"/>
  <c r="BB7" i="1"/>
  <c r="BA7" i="1"/>
  <c r="AX7" i="1"/>
  <c r="AW7" i="1"/>
  <c r="AT7" i="1"/>
  <c r="AR7" i="1"/>
  <c r="AQ7" i="1"/>
  <c r="AP7" i="1"/>
  <c r="AM7" i="1"/>
  <c r="BF7" i="1" s="1"/>
  <c r="BP7" i="1"/>
  <c r="AY11" i="1"/>
  <c r="AP11" i="1"/>
  <c r="AQ11" i="1"/>
  <c r="AR11" i="1"/>
  <c r="AT11" i="1"/>
  <c r="AW11" i="1"/>
  <c r="AX11" i="1"/>
  <c r="BA11" i="1"/>
  <c r="BB11" i="1"/>
  <c r="BG11" i="1"/>
  <c r="BH11" i="1"/>
  <c r="BI11" i="1"/>
  <c r="BJ11" i="1"/>
  <c r="AM11" i="1"/>
  <c r="BF11" i="1" s="1"/>
  <c r="BP11" i="1"/>
  <c r="BO64" i="1"/>
  <c r="BO65" i="1"/>
  <c r="BO66" i="1"/>
  <c r="BO67" i="1"/>
  <c r="BO68" i="1"/>
  <c r="BO69" i="1"/>
  <c r="BO70" i="1"/>
  <c r="BO71" i="1"/>
  <c r="BN124" i="1"/>
  <c r="BN174" i="1"/>
  <c r="BN177" i="1"/>
  <c r="BJ4" i="1"/>
  <c r="BJ6" i="1"/>
  <c r="BJ5" i="1"/>
  <c r="BJ9" i="1"/>
  <c r="BJ10" i="1"/>
  <c r="BJ13" i="1"/>
  <c r="BJ14" i="1"/>
  <c r="BJ15" i="1"/>
  <c r="BJ16" i="1"/>
  <c r="BJ19" i="1"/>
  <c r="BJ20" i="1"/>
  <c r="BJ22" i="1"/>
  <c r="BJ23" i="1"/>
  <c r="BJ24" i="1"/>
  <c r="BJ27" i="1"/>
  <c r="BJ28" i="1"/>
  <c r="BJ31" i="1"/>
  <c r="BJ32" i="1"/>
  <c r="BJ38" i="1"/>
  <c r="BJ47" i="1"/>
  <c r="BJ48" i="1"/>
  <c r="BJ49" i="1"/>
  <c r="BJ56" i="1"/>
  <c r="BJ57" i="1"/>
  <c r="BJ58" i="1"/>
  <c r="BJ59" i="1"/>
  <c r="BJ60" i="1"/>
  <c r="BJ63" i="1"/>
  <c r="BJ64" i="1"/>
  <c r="BJ65" i="1"/>
  <c r="BJ66" i="1"/>
  <c r="BJ67" i="1"/>
  <c r="BJ68" i="1"/>
  <c r="BJ69" i="1"/>
  <c r="BJ70" i="1"/>
  <c r="BJ71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90" i="1"/>
  <c r="BJ91" i="1"/>
  <c r="BJ86" i="1"/>
  <c r="BJ87" i="1"/>
  <c r="BJ88" i="1"/>
  <c r="BJ89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2" i="1"/>
  <c r="BJ123" i="1"/>
  <c r="BJ124" i="1"/>
  <c r="BJ125" i="1"/>
  <c r="BJ126" i="1"/>
  <c r="BJ127" i="1"/>
  <c r="BJ128" i="1"/>
  <c r="BJ129" i="1"/>
  <c r="BJ130" i="1"/>
  <c r="BJ131" i="1"/>
  <c r="BJ134" i="1"/>
  <c r="BJ135" i="1"/>
  <c r="BJ136" i="1"/>
  <c r="BJ138" i="1"/>
  <c r="BJ139" i="1"/>
  <c r="BJ140" i="1"/>
  <c r="BJ141" i="1"/>
  <c r="BJ142" i="1"/>
  <c r="BJ143" i="1"/>
  <c r="BJ145" i="1"/>
  <c r="BJ144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8" i="1"/>
  <c r="BJ169" i="1"/>
  <c r="BJ170" i="1"/>
  <c r="BJ166" i="1"/>
  <c r="BJ167" i="1"/>
  <c r="BJ174" i="1"/>
  <c r="BJ175" i="1"/>
  <c r="BJ176" i="1"/>
  <c r="BJ177" i="1"/>
  <c r="BJ178" i="1"/>
  <c r="BJ179" i="1"/>
  <c r="BJ180" i="1"/>
  <c r="BJ181" i="1"/>
  <c r="BJ185" i="1"/>
  <c r="BJ182" i="1"/>
  <c r="BJ183" i="1"/>
  <c r="BJ184" i="1"/>
  <c r="BJ198" i="1"/>
  <c r="BJ199" i="1"/>
  <c r="BJ188" i="1"/>
  <c r="BJ192" i="1"/>
  <c r="BJ193" i="1"/>
  <c r="BJ194" i="1"/>
  <c r="BJ223" i="1"/>
  <c r="BJ224" i="1"/>
  <c r="BJ225" i="1"/>
  <c r="BJ229" i="1"/>
  <c r="BJ230" i="1"/>
  <c r="BJ231" i="1"/>
  <c r="BJ232" i="1"/>
  <c r="BJ235" i="1"/>
  <c r="BJ236" i="1"/>
  <c r="BJ237" i="1"/>
  <c r="BJ238" i="1"/>
  <c r="BJ239" i="1"/>
  <c r="BJ240" i="1"/>
  <c r="BJ241" i="1"/>
  <c r="BJ242" i="1"/>
  <c r="BJ245" i="1"/>
  <c r="BJ246" i="1"/>
  <c r="BJ248" i="1"/>
  <c r="BJ249" i="1"/>
  <c r="BJ252" i="1"/>
  <c r="BJ253" i="1"/>
  <c r="BJ254" i="1"/>
  <c r="BJ255" i="1"/>
  <c r="BJ256" i="1"/>
  <c r="BJ260" i="1"/>
  <c r="BJ261" i="1"/>
  <c r="BJ262" i="1"/>
  <c r="BJ263" i="1"/>
  <c r="BI4" i="1"/>
  <c r="BI6" i="1"/>
  <c r="BI5" i="1"/>
  <c r="BI9" i="1"/>
  <c r="BI10" i="1"/>
  <c r="BI13" i="1"/>
  <c r="BI14" i="1"/>
  <c r="BI15" i="1"/>
  <c r="BI16" i="1"/>
  <c r="BI19" i="1"/>
  <c r="BI20" i="1"/>
  <c r="BI22" i="1"/>
  <c r="BI23" i="1"/>
  <c r="BI24" i="1"/>
  <c r="BI27" i="1"/>
  <c r="BI28" i="1"/>
  <c r="BI31" i="1"/>
  <c r="BI32" i="1"/>
  <c r="BI38" i="1"/>
  <c r="BI47" i="1"/>
  <c r="BI48" i="1"/>
  <c r="BI49" i="1"/>
  <c r="BI56" i="1"/>
  <c r="BI57" i="1"/>
  <c r="BI58" i="1"/>
  <c r="BI59" i="1"/>
  <c r="BI60" i="1"/>
  <c r="BI63" i="1"/>
  <c r="BI64" i="1"/>
  <c r="BI65" i="1"/>
  <c r="BI66" i="1"/>
  <c r="BI67" i="1"/>
  <c r="BI68" i="1"/>
  <c r="BI69" i="1"/>
  <c r="BI70" i="1"/>
  <c r="BI71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90" i="1"/>
  <c r="BI91" i="1"/>
  <c r="BI86" i="1"/>
  <c r="BI87" i="1"/>
  <c r="BI88" i="1"/>
  <c r="BI89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7" i="1"/>
  <c r="BI108" i="1"/>
  <c r="BI109" i="1"/>
  <c r="BI110" i="1"/>
  <c r="BI111" i="1"/>
  <c r="BI112" i="1"/>
  <c r="BI113" i="1"/>
  <c r="BI114" i="1"/>
  <c r="BI115" i="1"/>
  <c r="BI116" i="1"/>
  <c r="BI117" i="1"/>
  <c r="BI118" i="1"/>
  <c r="BI119" i="1"/>
  <c r="BI122" i="1"/>
  <c r="BI123" i="1"/>
  <c r="BI124" i="1"/>
  <c r="BI125" i="1"/>
  <c r="BI126" i="1"/>
  <c r="BI127" i="1"/>
  <c r="BI128" i="1"/>
  <c r="BI129" i="1"/>
  <c r="BI130" i="1"/>
  <c r="BI131" i="1"/>
  <c r="BI134" i="1"/>
  <c r="BI135" i="1"/>
  <c r="BI136" i="1"/>
  <c r="BI138" i="1"/>
  <c r="BI139" i="1"/>
  <c r="BI140" i="1"/>
  <c r="BI141" i="1"/>
  <c r="BI142" i="1"/>
  <c r="BI143" i="1"/>
  <c r="BI145" i="1"/>
  <c r="BI144" i="1"/>
  <c r="BI146" i="1"/>
  <c r="BI147" i="1"/>
  <c r="BI148" i="1"/>
  <c r="BI149" i="1"/>
  <c r="BI150" i="1"/>
  <c r="BI151" i="1"/>
  <c r="BI152" i="1"/>
  <c r="BI153" i="1"/>
  <c r="BI154" i="1"/>
  <c r="BI155" i="1"/>
  <c r="BI156" i="1"/>
  <c r="BI157" i="1"/>
  <c r="BI158" i="1"/>
  <c r="BI159" i="1"/>
  <c r="BI160" i="1"/>
  <c r="BI161" i="1"/>
  <c r="BI162" i="1"/>
  <c r="BI163" i="1"/>
  <c r="BI164" i="1"/>
  <c r="BI168" i="1"/>
  <c r="BI169" i="1"/>
  <c r="BI170" i="1"/>
  <c r="BI166" i="1"/>
  <c r="BI167" i="1"/>
  <c r="BI174" i="1"/>
  <c r="BI175" i="1"/>
  <c r="BI176" i="1"/>
  <c r="BI177" i="1"/>
  <c r="BI178" i="1"/>
  <c r="BI179" i="1"/>
  <c r="BI180" i="1"/>
  <c r="BI181" i="1"/>
  <c r="BI185" i="1"/>
  <c r="BI182" i="1"/>
  <c r="BI183" i="1"/>
  <c r="BI184" i="1"/>
  <c r="BI198" i="1"/>
  <c r="BI199" i="1"/>
  <c r="BI188" i="1"/>
  <c r="BI192" i="1"/>
  <c r="BI193" i="1"/>
  <c r="BI194" i="1"/>
  <c r="BI223" i="1"/>
  <c r="BI224" i="1"/>
  <c r="BI225" i="1"/>
  <c r="BI229" i="1"/>
  <c r="BI230" i="1"/>
  <c r="BI231" i="1"/>
  <c r="BI232" i="1"/>
  <c r="BI235" i="1"/>
  <c r="BI236" i="1"/>
  <c r="BI237" i="1"/>
  <c r="BI238" i="1"/>
  <c r="BI239" i="1"/>
  <c r="BI240" i="1"/>
  <c r="BI241" i="1"/>
  <c r="BI242" i="1"/>
  <c r="BI245" i="1"/>
  <c r="BI246" i="1"/>
  <c r="BI248" i="1"/>
  <c r="BI249" i="1"/>
  <c r="BI252" i="1"/>
  <c r="BI253" i="1"/>
  <c r="BI254" i="1"/>
  <c r="BI255" i="1"/>
  <c r="BI256" i="1"/>
  <c r="BI260" i="1"/>
  <c r="BI261" i="1"/>
  <c r="BI262" i="1"/>
  <c r="BI263" i="1"/>
  <c r="BB4" i="1"/>
  <c r="BB6" i="1"/>
  <c r="BB5" i="1"/>
  <c r="BB9" i="1"/>
  <c r="BB10" i="1"/>
  <c r="BB13" i="1"/>
  <c r="BB14" i="1"/>
  <c r="BB15" i="1"/>
  <c r="BB16" i="1"/>
  <c r="BB19" i="1"/>
  <c r="BB20" i="1"/>
  <c r="BB22" i="1"/>
  <c r="BB23" i="1"/>
  <c r="BB24" i="1"/>
  <c r="BB27" i="1"/>
  <c r="BB28" i="1"/>
  <c r="BB31" i="1"/>
  <c r="BB32" i="1"/>
  <c r="BB38" i="1"/>
  <c r="BB47" i="1"/>
  <c r="BB48" i="1"/>
  <c r="BB49" i="1"/>
  <c r="BB56" i="1"/>
  <c r="BB59" i="1"/>
  <c r="BB60" i="1"/>
  <c r="BB63" i="1"/>
  <c r="BB64" i="1"/>
  <c r="BB65" i="1"/>
  <c r="BB66" i="1"/>
  <c r="BB67" i="1"/>
  <c r="BB68" i="1"/>
  <c r="BB69" i="1"/>
  <c r="BB70" i="1"/>
  <c r="BB71" i="1"/>
  <c r="BB98" i="1"/>
  <c r="BB99" i="1"/>
  <c r="BB100" i="1"/>
  <c r="BB101" i="1"/>
  <c r="BB102" i="1"/>
  <c r="BB103" i="1"/>
  <c r="BB104" i="1"/>
  <c r="BB105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2" i="1"/>
  <c r="BB128" i="1"/>
  <c r="BB129" i="1"/>
  <c r="BB130" i="1"/>
  <c r="BB131" i="1"/>
  <c r="BB174" i="1"/>
  <c r="BB175" i="1"/>
  <c r="BB176" i="1"/>
  <c r="BB177" i="1"/>
  <c r="BB178" i="1"/>
  <c r="BB179" i="1"/>
  <c r="BB180" i="1"/>
  <c r="BB181" i="1"/>
  <c r="BB185" i="1"/>
  <c r="BB182" i="1"/>
  <c r="BB183" i="1"/>
  <c r="BB184" i="1"/>
  <c r="BB198" i="1"/>
  <c r="BB199" i="1"/>
  <c r="BB188" i="1"/>
  <c r="BB192" i="1"/>
  <c r="BB193" i="1"/>
  <c r="BB194" i="1"/>
  <c r="BB223" i="1"/>
  <c r="BB224" i="1"/>
  <c r="BB225" i="1"/>
  <c r="BB229" i="1"/>
  <c r="BB230" i="1"/>
  <c r="BB231" i="1"/>
  <c r="BB232" i="1"/>
  <c r="BB235" i="1"/>
  <c r="BB236" i="1"/>
  <c r="BB237" i="1"/>
  <c r="BB238" i="1"/>
  <c r="BB239" i="1"/>
  <c r="BB240" i="1"/>
  <c r="BB241" i="1"/>
  <c r="BB242" i="1"/>
  <c r="BB245" i="1"/>
  <c r="BB246" i="1"/>
  <c r="BB248" i="1"/>
  <c r="BB249" i="1"/>
  <c r="BB252" i="1"/>
  <c r="BB253" i="1"/>
  <c r="BB254" i="1"/>
  <c r="BB255" i="1"/>
  <c r="BB256" i="1"/>
  <c r="BB260" i="1"/>
  <c r="BB261" i="1"/>
  <c r="BB262" i="1"/>
  <c r="BB263" i="1"/>
  <c r="BA6" i="1"/>
  <c r="BA32" i="1"/>
  <c r="BA58" i="1"/>
  <c r="BA64" i="1"/>
  <c r="BA65" i="1"/>
  <c r="BA66" i="1"/>
  <c r="BA67" i="1"/>
  <c r="BA68" i="1"/>
  <c r="BA69" i="1"/>
  <c r="BA70" i="1"/>
  <c r="BA71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90" i="1"/>
  <c r="BA91" i="1"/>
  <c r="BA86" i="1"/>
  <c r="BA87" i="1"/>
  <c r="BA88" i="1"/>
  <c r="BA89" i="1"/>
  <c r="BA98" i="1"/>
  <c r="BA134" i="1"/>
  <c r="BA135" i="1"/>
  <c r="BA136" i="1"/>
  <c r="BA138" i="1"/>
  <c r="BA139" i="1"/>
  <c r="BA140" i="1"/>
  <c r="BA141" i="1"/>
  <c r="BA142" i="1"/>
  <c r="BA143" i="1"/>
  <c r="BA145" i="1"/>
  <c r="BA144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8" i="1"/>
  <c r="BA169" i="1"/>
  <c r="BA170" i="1"/>
  <c r="BA166" i="1"/>
  <c r="BA167" i="1"/>
  <c r="BA249" i="1"/>
  <c r="BA262" i="1"/>
  <c r="AX6" i="1"/>
  <c r="AX32" i="1"/>
  <c r="AX64" i="1"/>
  <c r="AX65" i="1"/>
  <c r="AX66" i="1"/>
  <c r="AX67" i="1"/>
  <c r="AX68" i="1"/>
  <c r="AX69" i="1"/>
  <c r="AX70" i="1"/>
  <c r="AX71" i="1"/>
  <c r="AX98" i="1"/>
  <c r="AX249" i="1"/>
  <c r="AX262" i="1"/>
  <c r="BB46" i="1" l="1"/>
  <c r="P9" i="8" s="1"/>
  <c r="AX247" i="1"/>
  <c r="BI62" i="1"/>
  <c r="BI212" i="1"/>
  <c r="BJ12" i="1"/>
  <c r="BI8" i="1"/>
  <c r="BJ212" i="1"/>
  <c r="BJ172" i="1"/>
  <c r="BA172" i="1"/>
  <c r="BI172" i="1"/>
  <c r="BJ244" i="1"/>
  <c r="BI73" i="1"/>
  <c r="BJ121" i="1"/>
  <c r="BB12" i="1"/>
  <c r="BI133" i="1"/>
  <c r="BB265" i="1"/>
  <c r="BI228" i="1"/>
  <c r="BI55" i="1"/>
  <c r="BB30" i="1"/>
  <c r="BB26" i="1"/>
  <c r="BI46" i="1"/>
  <c r="BI18" i="1"/>
  <c r="BJ133" i="1"/>
  <c r="BJ30" i="1"/>
  <c r="BJ26" i="1"/>
  <c r="BB251" i="1"/>
  <c r="BI251" i="1"/>
  <c r="BI12" i="1"/>
  <c r="BJ62" i="1"/>
  <c r="BI34" i="1"/>
  <c r="BJ259" i="1"/>
  <c r="BB55" i="1"/>
  <c r="BB34" i="1"/>
  <c r="BJ265" i="1"/>
  <c r="BJ228" i="1"/>
  <c r="BJ73" i="1"/>
  <c r="BJ55" i="1"/>
  <c r="BJ34" i="1"/>
  <c r="BJ187" i="1"/>
  <c r="BB244" i="1"/>
  <c r="BB212" i="1"/>
  <c r="BI244" i="1"/>
  <c r="BJ46" i="1"/>
  <c r="BI187" i="1"/>
  <c r="BB187" i="1"/>
  <c r="BB228" i="1"/>
  <c r="BI265" i="1"/>
  <c r="BJ234" i="1"/>
  <c r="BB259" i="1"/>
  <c r="BB234" i="1"/>
  <c r="BB73" i="1"/>
  <c r="BB18" i="1"/>
  <c r="BI259" i="1"/>
  <c r="BI234" i="1"/>
  <c r="BI121" i="1"/>
  <c r="BI30" i="1"/>
  <c r="BI26" i="1"/>
  <c r="BJ251" i="1"/>
  <c r="BJ18" i="1"/>
  <c r="AZ247" i="1"/>
  <c r="AY247" i="1"/>
  <c r="AZ120" i="1"/>
  <c r="BC120" i="1" s="1"/>
  <c r="AZ11" i="1"/>
  <c r="BC11" i="1" s="1"/>
  <c r="AY25" i="1"/>
  <c r="BC25" i="1" s="1"/>
  <c r="AZ173" i="1"/>
  <c r="AY173" i="1"/>
  <c r="AY17" i="1"/>
  <c r="AZ227" i="1"/>
  <c r="BC227" i="1" s="1"/>
  <c r="AY243" i="1"/>
  <c r="AN243" i="1" s="1"/>
  <c r="BK243" i="1" s="1"/>
  <c r="AY132" i="1"/>
  <c r="BC132" i="1" s="1"/>
  <c r="AZ17" i="1"/>
  <c r="AY264" i="1"/>
  <c r="AZ264" i="1"/>
  <c r="AY258" i="1"/>
  <c r="AZ258" i="1"/>
  <c r="AZ250" i="1"/>
  <c r="BC250" i="1" s="1"/>
  <c r="AZ233" i="1"/>
  <c r="BC233" i="1" s="1"/>
  <c r="AY211" i="1"/>
  <c r="AN211" i="1" s="1"/>
  <c r="BK211" i="1" s="1"/>
  <c r="AY186" i="1"/>
  <c r="AZ186" i="1"/>
  <c r="AY171" i="1"/>
  <c r="AZ171" i="1"/>
  <c r="AZ72" i="1"/>
  <c r="AN72" i="1" s="1"/>
  <c r="BK72" i="1" s="1"/>
  <c r="AY61" i="1"/>
  <c r="BC61" i="1" s="1"/>
  <c r="AZ45" i="1"/>
  <c r="BC45" i="1" s="1"/>
  <c r="AY33" i="1"/>
  <c r="AN33" i="1" s="1"/>
  <c r="BK33" i="1" s="1"/>
  <c r="AZ29" i="1"/>
  <c r="AY29" i="1"/>
  <c r="AZ7" i="1"/>
  <c r="AY7" i="1"/>
  <c r="X9" i="8" l="1"/>
  <c r="X24" i="8"/>
  <c r="W30" i="8"/>
  <c r="W36" i="8" s="1"/>
  <c r="W44" i="8" s="1"/>
  <c r="W27" i="8"/>
  <c r="X13" i="8"/>
  <c r="X26" i="8"/>
  <c r="X12" i="8"/>
  <c r="W9" i="8"/>
  <c r="W12" i="8"/>
  <c r="X8" i="8"/>
  <c r="X11" i="8"/>
  <c r="W13" i="8"/>
  <c r="X27" i="8"/>
  <c r="W25" i="8"/>
  <c r="W8" i="8"/>
  <c r="W10" i="8"/>
  <c r="X21" i="8"/>
  <c r="X22" i="8" s="1"/>
  <c r="X34" i="8" s="1"/>
  <c r="X42" i="8" s="1"/>
  <c r="W3" i="8"/>
  <c r="W6" i="8"/>
  <c r="W16" i="8"/>
  <c r="X30" i="8"/>
  <c r="X36" i="8" s="1"/>
  <c r="X44" i="8" s="1"/>
  <c r="W4" i="8"/>
  <c r="X6" i="8"/>
  <c r="W7" i="8"/>
  <c r="W26" i="8"/>
  <c r="X7" i="8"/>
  <c r="X25" i="8"/>
  <c r="X4" i="8"/>
  <c r="W15" i="8"/>
  <c r="W17" i="8"/>
  <c r="X10" i="8"/>
  <c r="X15" i="8"/>
  <c r="X16" i="8"/>
  <c r="W24" i="8"/>
  <c r="X5" i="8"/>
  <c r="W5" i="8"/>
  <c r="W21" i="8"/>
  <c r="W22" i="8" s="1"/>
  <c r="W34" i="8" s="1"/>
  <c r="W42" i="8" s="1"/>
  <c r="X17" i="8"/>
  <c r="W11" i="8"/>
  <c r="X14" i="8"/>
  <c r="W14" i="8"/>
  <c r="BC7" i="1"/>
  <c r="BC17" i="1"/>
  <c r="BC264" i="1"/>
  <c r="BC72" i="1"/>
  <c r="BC171" i="1"/>
  <c r="BC258" i="1"/>
  <c r="BC29" i="1"/>
  <c r="BC173" i="1"/>
  <c r="BC247" i="1"/>
  <c r="BC186" i="1"/>
  <c r="BC211" i="1"/>
  <c r="P21" i="8"/>
  <c r="P22" i="8" s="1"/>
  <c r="P34" i="8" s="1"/>
  <c r="P42" i="8" s="1"/>
  <c r="P5" i="8"/>
  <c r="P16" i="8"/>
  <c r="P17" i="8"/>
  <c r="P30" i="8"/>
  <c r="P36" i="8" s="1"/>
  <c r="P44" i="8" s="1"/>
  <c r="BC33" i="1"/>
  <c r="P25" i="8"/>
  <c r="P12" i="8"/>
  <c r="P24" i="8"/>
  <c r="P27" i="8"/>
  <c r="P8" i="8"/>
  <c r="P6" i="8"/>
  <c r="P10" i="8"/>
  <c r="P7" i="8"/>
  <c r="P4" i="8"/>
  <c r="P26" i="8"/>
  <c r="O15" i="8"/>
  <c r="BC243" i="1"/>
  <c r="AN25" i="1"/>
  <c r="AN173" i="1"/>
  <c r="BK173" i="1" s="1"/>
  <c r="AN227" i="1"/>
  <c r="AN11" i="1"/>
  <c r="AN247" i="1"/>
  <c r="AN120" i="1"/>
  <c r="BK120" i="1" s="1"/>
  <c r="BO243" i="1"/>
  <c r="BM243" i="1"/>
  <c r="AN7" i="1"/>
  <c r="AN29" i="1"/>
  <c r="AN186" i="1"/>
  <c r="AN132" i="1"/>
  <c r="BK132" i="1" s="1"/>
  <c r="BN243" i="1"/>
  <c r="AN17" i="1"/>
  <c r="BK17" i="1" s="1"/>
  <c r="AN264" i="1"/>
  <c r="BK264" i="1" s="1"/>
  <c r="AN258" i="1"/>
  <c r="BK258" i="1" s="1"/>
  <c r="AN250" i="1"/>
  <c r="BK250" i="1" s="1"/>
  <c r="AN233" i="1"/>
  <c r="BK233" i="1" s="1"/>
  <c r="BO211" i="1"/>
  <c r="BN211" i="1"/>
  <c r="BM211" i="1"/>
  <c r="AN171" i="1"/>
  <c r="BO72" i="1"/>
  <c r="BN72" i="1"/>
  <c r="BM72" i="1"/>
  <c r="AN61" i="1"/>
  <c r="BK61" i="1" s="1"/>
  <c r="AN45" i="1"/>
  <c r="BK45" i="1" s="1"/>
  <c r="BO33" i="1"/>
  <c r="BN33" i="1"/>
  <c r="BM33" i="1"/>
  <c r="W28" i="8" l="1"/>
  <c r="W35" i="8" s="1"/>
  <c r="W43" i="8" s="1"/>
  <c r="X28" i="8"/>
  <c r="X35" i="8" s="1"/>
  <c r="X43" i="8" s="1"/>
  <c r="W19" i="8"/>
  <c r="W33" i="8" s="1"/>
  <c r="W41" i="8" s="1"/>
  <c r="P28" i="8"/>
  <c r="P35" i="8" s="1"/>
  <c r="P43" i="8" s="1"/>
  <c r="BN186" i="1"/>
  <c r="BK186" i="1"/>
  <c r="BO7" i="1"/>
  <c r="BK7" i="1"/>
  <c r="BO29" i="1"/>
  <c r="BK29" i="1"/>
  <c r="BM227" i="1"/>
  <c r="BK227" i="1"/>
  <c r="BN25" i="1"/>
  <c r="BK25" i="1"/>
  <c r="BO247" i="1"/>
  <c r="BK247" i="1"/>
  <c r="BO11" i="1"/>
  <c r="BK11" i="1"/>
  <c r="BO173" i="1"/>
  <c r="BN173" i="1"/>
  <c r="BM25" i="1"/>
  <c r="BM173" i="1"/>
  <c r="BO25" i="1"/>
  <c r="BN247" i="1"/>
  <c r="BM247" i="1"/>
  <c r="BM11" i="1"/>
  <c r="BN227" i="1"/>
  <c r="BO227" i="1"/>
  <c r="BN120" i="1"/>
  <c r="BO120" i="1"/>
  <c r="BN11" i="1"/>
  <c r="BM120" i="1"/>
  <c r="BM7" i="1"/>
  <c r="BN7" i="1"/>
  <c r="BM186" i="1"/>
  <c r="BO186" i="1"/>
  <c r="BM29" i="1"/>
  <c r="BN29" i="1"/>
  <c r="BO17" i="1"/>
  <c r="BM17" i="1"/>
  <c r="BN17" i="1"/>
  <c r="BM132" i="1"/>
  <c r="BO132" i="1"/>
  <c r="BN132" i="1"/>
  <c r="BO264" i="1"/>
  <c r="BN264" i="1"/>
  <c r="BM264" i="1"/>
  <c r="BO258" i="1"/>
  <c r="BN258" i="1"/>
  <c r="BM258" i="1"/>
  <c r="BO250" i="1"/>
  <c r="BN250" i="1"/>
  <c r="BM250" i="1"/>
  <c r="BO233" i="1"/>
  <c r="BN233" i="1"/>
  <c r="BM233" i="1"/>
  <c r="BO171" i="1"/>
  <c r="BN171" i="1"/>
  <c r="BM171" i="1"/>
  <c r="BO61" i="1"/>
  <c r="BN61" i="1"/>
  <c r="BM61" i="1"/>
  <c r="BO45" i="1"/>
  <c r="BN45" i="1"/>
  <c r="BM45" i="1"/>
  <c r="W45" i="8" l="1"/>
  <c r="W37" i="8"/>
  <c r="AW4" i="1"/>
  <c r="AW6" i="1"/>
  <c r="AW5" i="1"/>
  <c r="AW9" i="1"/>
  <c r="AW10" i="1"/>
  <c r="AW13" i="1"/>
  <c r="AW14" i="1"/>
  <c r="AW15" i="1"/>
  <c r="AW16" i="1"/>
  <c r="AW19" i="1"/>
  <c r="AW20" i="1"/>
  <c r="AW22" i="1"/>
  <c r="AW23" i="1"/>
  <c r="AW24" i="1"/>
  <c r="AW27" i="1"/>
  <c r="AW28" i="1"/>
  <c r="AW31" i="1"/>
  <c r="AW32" i="1"/>
  <c r="AW38" i="1"/>
  <c r="AW46" i="1" s="1"/>
  <c r="AW47" i="1"/>
  <c r="AW48" i="1"/>
  <c r="AW49" i="1"/>
  <c r="AW56" i="1"/>
  <c r="AW57" i="1"/>
  <c r="AW58" i="1"/>
  <c r="AW59" i="1"/>
  <c r="AW60" i="1"/>
  <c r="AW63" i="1"/>
  <c r="AW64" i="1"/>
  <c r="AW65" i="1"/>
  <c r="AW66" i="1"/>
  <c r="AW67" i="1"/>
  <c r="AW68" i="1"/>
  <c r="AW69" i="1"/>
  <c r="AW70" i="1"/>
  <c r="AW71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90" i="1"/>
  <c r="AW91" i="1"/>
  <c r="AW86" i="1"/>
  <c r="AW87" i="1"/>
  <c r="AW88" i="1"/>
  <c r="AW89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2" i="1"/>
  <c r="AW123" i="1"/>
  <c r="AW124" i="1"/>
  <c r="AW125" i="1"/>
  <c r="AW126" i="1"/>
  <c r="AW127" i="1"/>
  <c r="AW128" i="1"/>
  <c r="AW129" i="1"/>
  <c r="AW130" i="1"/>
  <c r="AW131" i="1"/>
  <c r="AW134" i="1"/>
  <c r="AW135" i="1"/>
  <c r="AW136" i="1"/>
  <c r="AW138" i="1"/>
  <c r="AW139" i="1"/>
  <c r="AW140" i="1"/>
  <c r="AW141" i="1"/>
  <c r="AW142" i="1"/>
  <c r="AW143" i="1"/>
  <c r="AW145" i="1"/>
  <c r="AW144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8" i="1"/>
  <c r="AW169" i="1"/>
  <c r="AW170" i="1"/>
  <c r="AW166" i="1"/>
  <c r="AW167" i="1"/>
  <c r="AW174" i="1"/>
  <c r="AW175" i="1"/>
  <c r="AW176" i="1"/>
  <c r="AW177" i="1"/>
  <c r="AW178" i="1"/>
  <c r="AW179" i="1"/>
  <c r="AW180" i="1"/>
  <c r="AW181" i="1"/>
  <c r="AW185" i="1"/>
  <c r="AW182" i="1"/>
  <c r="AW183" i="1"/>
  <c r="AW184" i="1"/>
  <c r="AW198" i="1"/>
  <c r="AW199" i="1"/>
  <c r="AW188" i="1"/>
  <c r="AW192" i="1"/>
  <c r="AW193" i="1"/>
  <c r="AW194" i="1"/>
  <c r="AW223" i="1"/>
  <c r="AW224" i="1"/>
  <c r="AW225" i="1"/>
  <c r="AW229" i="1"/>
  <c r="AW230" i="1"/>
  <c r="AW231" i="1"/>
  <c r="AW232" i="1"/>
  <c r="AW235" i="1"/>
  <c r="AW236" i="1"/>
  <c r="AW237" i="1"/>
  <c r="AW238" i="1"/>
  <c r="AW239" i="1"/>
  <c r="AW240" i="1"/>
  <c r="AW241" i="1"/>
  <c r="AW242" i="1"/>
  <c r="AW245" i="1"/>
  <c r="AW246" i="1"/>
  <c r="AW248" i="1"/>
  <c r="AW249" i="1"/>
  <c r="AW252" i="1"/>
  <c r="AW253" i="1"/>
  <c r="AW254" i="1"/>
  <c r="AW255" i="1"/>
  <c r="AW256" i="1"/>
  <c r="AW260" i="1"/>
  <c r="AW261" i="1"/>
  <c r="AW262" i="1"/>
  <c r="AW263" i="1"/>
  <c r="AU46" i="1"/>
  <c r="AT4" i="1"/>
  <c r="AT6" i="1"/>
  <c r="AT5" i="1"/>
  <c r="AT9" i="1"/>
  <c r="AT10" i="1"/>
  <c r="AT13" i="1"/>
  <c r="AT14" i="1"/>
  <c r="AT15" i="1"/>
  <c r="AT16" i="1"/>
  <c r="AT19" i="1"/>
  <c r="AT20" i="1"/>
  <c r="AT22" i="1"/>
  <c r="AT23" i="1"/>
  <c r="AT24" i="1"/>
  <c r="AT27" i="1"/>
  <c r="AT28" i="1"/>
  <c r="AT31" i="1"/>
  <c r="AT32" i="1"/>
  <c r="AT38" i="1"/>
  <c r="AT46" i="1" s="1"/>
  <c r="AT47" i="1"/>
  <c r="AT48" i="1"/>
  <c r="AT49" i="1"/>
  <c r="AT56" i="1"/>
  <c r="AT57" i="1"/>
  <c r="AT58" i="1"/>
  <c r="AT59" i="1"/>
  <c r="AT60" i="1"/>
  <c r="AT63" i="1"/>
  <c r="AT64" i="1"/>
  <c r="AT65" i="1"/>
  <c r="AT66" i="1"/>
  <c r="AT67" i="1"/>
  <c r="AT68" i="1"/>
  <c r="AT69" i="1"/>
  <c r="AT70" i="1"/>
  <c r="AT71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90" i="1"/>
  <c r="AT91" i="1"/>
  <c r="AT86" i="1"/>
  <c r="AT87" i="1"/>
  <c r="AT88" i="1"/>
  <c r="AT89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2" i="1"/>
  <c r="AT123" i="1"/>
  <c r="AT124" i="1"/>
  <c r="AT125" i="1"/>
  <c r="AT126" i="1"/>
  <c r="AT127" i="1"/>
  <c r="AT128" i="1"/>
  <c r="AT129" i="1"/>
  <c r="AT130" i="1"/>
  <c r="AT131" i="1"/>
  <c r="AT134" i="1"/>
  <c r="AT135" i="1"/>
  <c r="AT136" i="1"/>
  <c r="AT138" i="1"/>
  <c r="AT139" i="1"/>
  <c r="AT140" i="1"/>
  <c r="AT141" i="1"/>
  <c r="AT142" i="1"/>
  <c r="AT143" i="1"/>
  <c r="AT145" i="1"/>
  <c r="AT144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8" i="1"/>
  <c r="AT169" i="1"/>
  <c r="AT170" i="1"/>
  <c r="AT166" i="1"/>
  <c r="AT167" i="1"/>
  <c r="AT174" i="1"/>
  <c r="AT175" i="1"/>
  <c r="AT176" i="1"/>
  <c r="AT177" i="1"/>
  <c r="AT178" i="1"/>
  <c r="AT179" i="1"/>
  <c r="AT180" i="1"/>
  <c r="AT181" i="1"/>
  <c r="AT185" i="1"/>
  <c r="AT182" i="1"/>
  <c r="AT183" i="1"/>
  <c r="AT184" i="1"/>
  <c r="AT198" i="1"/>
  <c r="AT199" i="1"/>
  <c r="AT188" i="1"/>
  <c r="AT192" i="1"/>
  <c r="AT193" i="1"/>
  <c r="AT194" i="1"/>
  <c r="AT223" i="1"/>
  <c r="AT224" i="1"/>
  <c r="AT225" i="1"/>
  <c r="AT229" i="1"/>
  <c r="AT230" i="1"/>
  <c r="AT231" i="1"/>
  <c r="AT232" i="1"/>
  <c r="AT235" i="1"/>
  <c r="AT236" i="1"/>
  <c r="AT237" i="1"/>
  <c r="AT238" i="1"/>
  <c r="AT239" i="1"/>
  <c r="AT240" i="1"/>
  <c r="AT241" i="1"/>
  <c r="AT242" i="1"/>
  <c r="AT245" i="1"/>
  <c r="AT246" i="1"/>
  <c r="AT248" i="1"/>
  <c r="AT249" i="1"/>
  <c r="AT252" i="1"/>
  <c r="AT253" i="1"/>
  <c r="AT254" i="1"/>
  <c r="AT255" i="1"/>
  <c r="AT256" i="1"/>
  <c r="AT260" i="1"/>
  <c r="AT261" i="1"/>
  <c r="AT262" i="1"/>
  <c r="AT263" i="1"/>
  <c r="AR4" i="1"/>
  <c r="AR6" i="1"/>
  <c r="AR5" i="1"/>
  <c r="AR9" i="1"/>
  <c r="AR10" i="1"/>
  <c r="AR13" i="1"/>
  <c r="AR14" i="1"/>
  <c r="AR15" i="1"/>
  <c r="AR16" i="1"/>
  <c r="AR19" i="1"/>
  <c r="AR20" i="1"/>
  <c r="AR22" i="1"/>
  <c r="AR23" i="1"/>
  <c r="AR24" i="1"/>
  <c r="AR27" i="1"/>
  <c r="AR28" i="1"/>
  <c r="AR31" i="1"/>
  <c r="AR32" i="1"/>
  <c r="AR38" i="1"/>
  <c r="AR46" i="1" s="1"/>
  <c r="AR47" i="1"/>
  <c r="AR48" i="1"/>
  <c r="AR49" i="1"/>
  <c r="AR56" i="1"/>
  <c r="AR57" i="1"/>
  <c r="AR58" i="1"/>
  <c r="AR59" i="1"/>
  <c r="AR60" i="1"/>
  <c r="AR63" i="1"/>
  <c r="AR64" i="1"/>
  <c r="AR65" i="1"/>
  <c r="AR66" i="1"/>
  <c r="AR67" i="1"/>
  <c r="AR68" i="1"/>
  <c r="AR69" i="1"/>
  <c r="AR70" i="1"/>
  <c r="AR71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90" i="1"/>
  <c r="AR91" i="1"/>
  <c r="AR86" i="1"/>
  <c r="AR87" i="1"/>
  <c r="AR88" i="1"/>
  <c r="AR89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2" i="1"/>
  <c r="AR123" i="1"/>
  <c r="AR124" i="1"/>
  <c r="AR125" i="1"/>
  <c r="AR126" i="1"/>
  <c r="AR127" i="1"/>
  <c r="AR128" i="1"/>
  <c r="AR129" i="1"/>
  <c r="AR130" i="1"/>
  <c r="AR131" i="1"/>
  <c r="AR134" i="1"/>
  <c r="AR135" i="1"/>
  <c r="AR136" i="1"/>
  <c r="AR138" i="1"/>
  <c r="AR139" i="1"/>
  <c r="AR140" i="1"/>
  <c r="AR141" i="1"/>
  <c r="AR142" i="1"/>
  <c r="AR143" i="1"/>
  <c r="AR145" i="1"/>
  <c r="AR144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8" i="1"/>
  <c r="AR169" i="1"/>
  <c r="AR170" i="1"/>
  <c r="AR166" i="1"/>
  <c r="AR167" i="1"/>
  <c r="AR174" i="1"/>
  <c r="AR175" i="1"/>
  <c r="AR176" i="1"/>
  <c r="AR177" i="1"/>
  <c r="AR178" i="1"/>
  <c r="AR179" i="1"/>
  <c r="AR180" i="1"/>
  <c r="AR181" i="1"/>
  <c r="AR185" i="1"/>
  <c r="AR182" i="1"/>
  <c r="AR183" i="1"/>
  <c r="AR184" i="1"/>
  <c r="AR198" i="1"/>
  <c r="AR199" i="1"/>
  <c r="AR188" i="1"/>
  <c r="AR192" i="1"/>
  <c r="AR193" i="1"/>
  <c r="AR194" i="1"/>
  <c r="AR223" i="1"/>
  <c r="AR224" i="1"/>
  <c r="AR225" i="1"/>
  <c r="AR229" i="1"/>
  <c r="AR230" i="1"/>
  <c r="AR231" i="1"/>
  <c r="AR232" i="1"/>
  <c r="AR235" i="1"/>
  <c r="AR236" i="1"/>
  <c r="AR237" i="1"/>
  <c r="AR238" i="1"/>
  <c r="AR239" i="1"/>
  <c r="AR240" i="1"/>
  <c r="AR241" i="1"/>
  <c r="AR242" i="1"/>
  <c r="AR245" i="1"/>
  <c r="AR246" i="1"/>
  <c r="AR248" i="1"/>
  <c r="AR249" i="1"/>
  <c r="AR252" i="1"/>
  <c r="AR253" i="1"/>
  <c r="AR254" i="1"/>
  <c r="AR255" i="1"/>
  <c r="AR256" i="1"/>
  <c r="AR260" i="1"/>
  <c r="AR261" i="1"/>
  <c r="AR262" i="1"/>
  <c r="AR263" i="1"/>
  <c r="AQ4" i="1"/>
  <c r="AQ6" i="1"/>
  <c r="AQ5" i="1"/>
  <c r="AQ9" i="1"/>
  <c r="AQ10" i="1"/>
  <c r="AQ13" i="1"/>
  <c r="AQ14" i="1"/>
  <c r="AQ15" i="1"/>
  <c r="AQ16" i="1"/>
  <c r="AQ19" i="1"/>
  <c r="AQ20" i="1"/>
  <c r="AQ22" i="1"/>
  <c r="AQ23" i="1"/>
  <c r="AQ24" i="1"/>
  <c r="AQ27" i="1"/>
  <c r="AQ28" i="1"/>
  <c r="AQ31" i="1"/>
  <c r="AQ32" i="1"/>
  <c r="AQ38" i="1"/>
  <c r="AQ46" i="1" s="1"/>
  <c r="AQ47" i="1"/>
  <c r="AQ48" i="1"/>
  <c r="AQ49" i="1"/>
  <c r="AQ56" i="1"/>
  <c r="AQ57" i="1"/>
  <c r="AQ58" i="1"/>
  <c r="AQ59" i="1"/>
  <c r="AQ60" i="1"/>
  <c r="AQ63" i="1"/>
  <c r="AQ64" i="1"/>
  <c r="AQ65" i="1"/>
  <c r="AQ66" i="1"/>
  <c r="AQ67" i="1"/>
  <c r="AQ68" i="1"/>
  <c r="AQ69" i="1"/>
  <c r="AQ70" i="1"/>
  <c r="AQ71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90" i="1"/>
  <c r="AQ91" i="1"/>
  <c r="AQ86" i="1"/>
  <c r="AQ87" i="1"/>
  <c r="AQ88" i="1"/>
  <c r="AQ89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2" i="1"/>
  <c r="AQ123" i="1"/>
  <c r="AQ124" i="1"/>
  <c r="AQ125" i="1"/>
  <c r="AQ126" i="1"/>
  <c r="AQ127" i="1"/>
  <c r="AQ128" i="1"/>
  <c r="AQ129" i="1"/>
  <c r="AQ130" i="1"/>
  <c r="AQ131" i="1"/>
  <c r="AQ134" i="1"/>
  <c r="AQ135" i="1"/>
  <c r="AQ136" i="1"/>
  <c r="AQ138" i="1"/>
  <c r="AQ139" i="1"/>
  <c r="AQ140" i="1"/>
  <c r="AQ141" i="1"/>
  <c r="AQ142" i="1"/>
  <c r="AQ143" i="1"/>
  <c r="AQ145" i="1"/>
  <c r="AQ144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8" i="1"/>
  <c r="AQ169" i="1"/>
  <c r="AQ170" i="1"/>
  <c r="AQ166" i="1"/>
  <c r="AQ167" i="1"/>
  <c r="AQ174" i="1"/>
  <c r="AQ175" i="1"/>
  <c r="AQ176" i="1"/>
  <c r="AQ177" i="1"/>
  <c r="AQ178" i="1"/>
  <c r="AQ179" i="1"/>
  <c r="AQ180" i="1"/>
  <c r="AQ181" i="1"/>
  <c r="AQ185" i="1"/>
  <c r="AQ182" i="1"/>
  <c r="AQ183" i="1"/>
  <c r="AQ184" i="1"/>
  <c r="AQ198" i="1"/>
  <c r="AQ199" i="1"/>
  <c r="AQ188" i="1"/>
  <c r="AQ192" i="1"/>
  <c r="AQ193" i="1"/>
  <c r="AQ194" i="1"/>
  <c r="AQ223" i="1"/>
  <c r="AQ224" i="1"/>
  <c r="AQ225" i="1"/>
  <c r="AQ229" i="1"/>
  <c r="AQ230" i="1"/>
  <c r="AQ231" i="1"/>
  <c r="AQ232" i="1"/>
  <c r="AQ235" i="1"/>
  <c r="AQ236" i="1"/>
  <c r="AQ237" i="1"/>
  <c r="AQ238" i="1"/>
  <c r="AQ239" i="1"/>
  <c r="AQ240" i="1"/>
  <c r="AQ241" i="1"/>
  <c r="AQ242" i="1"/>
  <c r="AQ245" i="1"/>
  <c r="AQ246" i="1"/>
  <c r="AQ248" i="1"/>
  <c r="AQ249" i="1"/>
  <c r="AQ252" i="1"/>
  <c r="AQ253" i="1"/>
  <c r="AQ254" i="1"/>
  <c r="AQ255" i="1"/>
  <c r="AQ256" i="1"/>
  <c r="AQ260" i="1"/>
  <c r="AQ261" i="1"/>
  <c r="AQ262" i="1"/>
  <c r="AQ263" i="1"/>
  <c r="AP4" i="1"/>
  <c r="AP6" i="1"/>
  <c r="AP5" i="1"/>
  <c r="AP9" i="1"/>
  <c r="AP10" i="1"/>
  <c r="AP13" i="1"/>
  <c r="AP14" i="1"/>
  <c r="AP15" i="1"/>
  <c r="AP16" i="1"/>
  <c r="AP19" i="1"/>
  <c r="AP20" i="1"/>
  <c r="AP22" i="1"/>
  <c r="AP23" i="1"/>
  <c r="AP24" i="1"/>
  <c r="AP27" i="1"/>
  <c r="AP28" i="1"/>
  <c r="AP31" i="1"/>
  <c r="AP32" i="1"/>
  <c r="AP38" i="1"/>
  <c r="AP46" i="1" s="1"/>
  <c r="AP47" i="1"/>
  <c r="AP48" i="1"/>
  <c r="AP49" i="1"/>
  <c r="AP56" i="1"/>
  <c r="AP57" i="1"/>
  <c r="AP58" i="1"/>
  <c r="AP59" i="1"/>
  <c r="AP60" i="1"/>
  <c r="AP63" i="1"/>
  <c r="AP64" i="1"/>
  <c r="AP65" i="1"/>
  <c r="AP66" i="1"/>
  <c r="AP67" i="1"/>
  <c r="AP68" i="1"/>
  <c r="AP69" i="1"/>
  <c r="AP70" i="1"/>
  <c r="AP71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90" i="1"/>
  <c r="AP91" i="1"/>
  <c r="AP86" i="1"/>
  <c r="AP87" i="1"/>
  <c r="AP88" i="1"/>
  <c r="AP89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2" i="1"/>
  <c r="AP123" i="1"/>
  <c r="AP124" i="1"/>
  <c r="AP125" i="1"/>
  <c r="AP126" i="1"/>
  <c r="AP127" i="1"/>
  <c r="AP128" i="1"/>
  <c r="AP129" i="1"/>
  <c r="AP130" i="1"/>
  <c r="AP131" i="1"/>
  <c r="AP134" i="1"/>
  <c r="AP135" i="1"/>
  <c r="AP136" i="1"/>
  <c r="AP138" i="1"/>
  <c r="AP139" i="1"/>
  <c r="AP140" i="1"/>
  <c r="AP141" i="1"/>
  <c r="AP142" i="1"/>
  <c r="AP143" i="1"/>
  <c r="AP145" i="1"/>
  <c r="AP144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8" i="1"/>
  <c r="AP169" i="1"/>
  <c r="AP170" i="1"/>
  <c r="AP166" i="1"/>
  <c r="AP167" i="1"/>
  <c r="AP174" i="1"/>
  <c r="AP175" i="1"/>
  <c r="AP176" i="1"/>
  <c r="AP177" i="1"/>
  <c r="AP178" i="1"/>
  <c r="AP179" i="1"/>
  <c r="AP180" i="1"/>
  <c r="AP181" i="1"/>
  <c r="AP185" i="1"/>
  <c r="AP182" i="1"/>
  <c r="AP183" i="1"/>
  <c r="AP184" i="1"/>
  <c r="AP198" i="1"/>
  <c r="AP199" i="1"/>
  <c r="AP188" i="1"/>
  <c r="AP192" i="1"/>
  <c r="AP193" i="1"/>
  <c r="AP194" i="1"/>
  <c r="AP223" i="1"/>
  <c r="AP224" i="1"/>
  <c r="AP225" i="1"/>
  <c r="AP229" i="1"/>
  <c r="AP230" i="1"/>
  <c r="AP231" i="1"/>
  <c r="AP232" i="1"/>
  <c r="AP235" i="1"/>
  <c r="AP236" i="1"/>
  <c r="AP237" i="1"/>
  <c r="AP238" i="1"/>
  <c r="AP239" i="1"/>
  <c r="AP240" i="1"/>
  <c r="AP241" i="1"/>
  <c r="AP242" i="1"/>
  <c r="AP245" i="1"/>
  <c r="AP246" i="1"/>
  <c r="AP248" i="1"/>
  <c r="AP249" i="1"/>
  <c r="AP252" i="1"/>
  <c r="AP253" i="1"/>
  <c r="AP254" i="1"/>
  <c r="AP255" i="1"/>
  <c r="AP256" i="1"/>
  <c r="AP260" i="1"/>
  <c r="AP261" i="1"/>
  <c r="AP262" i="1"/>
  <c r="AP263" i="1"/>
  <c r="AO13" i="1"/>
  <c r="AO14" i="1"/>
  <c r="AO15" i="1"/>
  <c r="AO16" i="1"/>
  <c r="AO19" i="1"/>
  <c r="AO20" i="1"/>
  <c r="AO22" i="1"/>
  <c r="AO23" i="1"/>
  <c r="AO24" i="1"/>
  <c r="AO27" i="1"/>
  <c r="AO28" i="1"/>
  <c r="AO31" i="1"/>
  <c r="AO32" i="1"/>
  <c r="AO38" i="1"/>
  <c r="AO46" i="1" s="1"/>
  <c r="AO47" i="1"/>
  <c r="AO48" i="1"/>
  <c r="AO49" i="1"/>
  <c r="AO56" i="1"/>
  <c r="AO57" i="1"/>
  <c r="BB57" i="1" s="1"/>
  <c r="AO59" i="1"/>
  <c r="AO60" i="1"/>
  <c r="AO63" i="1"/>
  <c r="AO64" i="1"/>
  <c r="AO65" i="1"/>
  <c r="AO66" i="1"/>
  <c r="AO67" i="1"/>
  <c r="AO68" i="1"/>
  <c r="AO69" i="1"/>
  <c r="AO70" i="1"/>
  <c r="AO71" i="1"/>
  <c r="AO99" i="1"/>
  <c r="AO100" i="1"/>
  <c r="AO101" i="1"/>
  <c r="AO102" i="1"/>
  <c r="AO103" i="1"/>
  <c r="AO104" i="1"/>
  <c r="AO105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2" i="1"/>
  <c r="AO128" i="1"/>
  <c r="AO129" i="1"/>
  <c r="AO130" i="1"/>
  <c r="AO131" i="1"/>
  <c r="AO174" i="1"/>
  <c r="AO175" i="1"/>
  <c r="AO176" i="1"/>
  <c r="AO177" i="1"/>
  <c r="AO178" i="1"/>
  <c r="AO179" i="1"/>
  <c r="AO180" i="1"/>
  <c r="AO181" i="1"/>
  <c r="AO185" i="1"/>
  <c r="AO182" i="1"/>
  <c r="AO183" i="1"/>
  <c r="AO184" i="1"/>
  <c r="AO198" i="1"/>
  <c r="AO199" i="1"/>
  <c r="AO188" i="1"/>
  <c r="AO192" i="1"/>
  <c r="AO193" i="1"/>
  <c r="AO194" i="1"/>
  <c r="AO223" i="1"/>
  <c r="AO224" i="1"/>
  <c r="AO225" i="1"/>
  <c r="AO229" i="1"/>
  <c r="AO230" i="1"/>
  <c r="AO231" i="1"/>
  <c r="AO232" i="1"/>
  <c r="AO235" i="1"/>
  <c r="AO236" i="1"/>
  <c r="AO237" i="1"/>
  <c r="AO238" i="1"/>
  <c r="AO239" i="1"/>
  <c r="AO240" i="1"/>
  <c r="AO241" i="1"/>
  <c r="AO242" i="1"/>
  <c r="AO245" i="1"/>
  <c r="AO246" i="1"/>
  <c r="AO248" i="1"/>
  <c r="AO249" i="1"/>
  <c r="AO252" i="1"/>
  <c r="AO253" i="1"/>
  <c r="AO254" i="1"/>
  <c r="AO255" i="1"/>
  <c r="AO256" i="1"/>
  <c r="AO260" i="1"/>
  <c r="AO261" i="1"/>
  <c r="AO262" i="1"/>
  <c r="AO263" i="1"/>
  <c r="BB8" i="1"/>
  <c r="AM4" i="1"/>
  <c r="BF4" i="1" s="1"/>
  <c r="AM6" i="1"/>
  <c r="BF6" i="1" s="1"/>
  <c r="AM5" i="1"/>
  <c r="BF5" i="1" s="1"/>
  <c r="AM9" i="1"/>
  <c r="BF9" i="1" s="1"/>
  <c r="AM10" i="1"/>
  <c r="BF10" i="1" s="1"/>
  <c r="AM13" i="1"/>
  <c r="BF13" i="1" s="1"/>
  <c r="AM14" i="1"/>
  <c r="BF14" i="1" s="1"/>
  <c r="AM15" i="1"/>
  <c r="BF15" i="1" s="1"/>
  <c r="AM16" i="1"/>
  <c r="BF16" i="1" s="1"/>
  <c r="AM19" i="1"/>
  <c r="BF19" i="1" s="1"/>
  <c r="AM20" i="1"/>
  <c r="BF20" i="1" s="1"/>
  <c r="AM22" i="1"/>
  <c r="BF22" i="1" s="1"/>
  <c r="AM23" i="1"/>
  <c r="BF23" i="1" s="1"/>
  <c r="AM24" i="1"/>
  <c r="BF24" i="1" s="1"/>
  <c r="AM27" i="1"/>
  <c r="BF27" i="1" s="1"/>
  <c r="AM28" i="1"/>
  <c r="BF28" i="1" s="1"/>
  <c r="AM31" i="1"/>
  <c r="BF31" i="1" s="1"/>
  <c r="AM32" i="1"/>
  <c r="BF32" i="1" s="1"/>
  <c r="AM38" i="1"/>
  <c r="BF38" i="1" s="1"/>
  <c r="BF46" i="1" s="1"/>
  <c r="AM47" i="1"/>
  <c r="BF47" i="1" s="1"/>
  <c r="AM48" i="1"/>
  <c r="BF48" i="1" s="1"/>
  <c r="AM49" i="1"/>
  <c r="BF49" i="1" s="1"/>
  <c r="AM56" i="1"/>
  <c r="BF56" i="1" s="1"/>
  <c r="AM57" i="1"/>
  <c r="BF57" i="1" s="1"/>
  <c r="AM58" i="1"/>
  <c r="BF58" i="1" s="1"/>
  <c r="AM59" i="1"/>
  <c r="BF59" i="1" s="1"/>
  <c r="AM60" i="1"/>
  <c r="BF60" i="1" s="1"/>
  <c r="AM63" i="1"/>
  <c r="BF63" i="1" s="1"/>
  <c r="AM64" i="1"/>
  <c r="BF64" i="1" s="1"/>
  <c r="AM65" i="1"/>
  <c r="BF65" i="1" s="1"/>
  <c r="AM66" i="1"/>
  <c r="BF66" i="1" s="1"/>
  <c r="AM67" i="1"/>
  <c r="BF67" i="1" s="1"/>
  <c r="AM68" i="1"/>
  <c r="BF68" i="1" s="1"/>
  <c r="AM69" i="1"/>
  <c r="BF69" i="1" s="1"/>
  <c r="AM70" i="1"/>
  <c r="BF70" i="1" s="1"/>
  <c r="AM71" i="1"/>
  <c r="BF71" i="1" s="1"/>
  <c r="AM74" i="1"/>
  <c r="BF74" i="1" s="1"/>
  <c r="AM75" i="1"/>
  <c r="BF75" i="1" s="1"/>
  <c r="AM76" i="1"/>
  <c r="BF76" i="1" s="1"/>
  <c r="AM77" i="1"/>
  <c r="BF77" i="1" s="1"/>
  <c r="AM78" i="1"/>
  <c r="BF78" i="1" s="1"/>
  <c r="AM79" i="1"/>
  <c r="BF79" i="1" s="1"/>
  <c r="AM80" i="1"/>
  <c r="BF80" i="1" s="1"/>
  <c r="AM81" i="1"/>
  <c r="BF81" i="1" s="1"/>
  <c r="AM82" i="1"/>
  <c r="BF82" i="1" s="1"/>
  <c r="AM83" i="1"/>
  <c r="BF83" i="1" s="1"/>
  <c r="AM84" i="1"/>
  <c r="BF84" i="1" s="1"/>
  <c r="AM85" i="1"/>
  <c r="BF85" i="1" s="1"/>
  <c r="AM90" i="1"/>
  <c r="BF90" i="1" s="1"/>
  <c r="AM91" i="1"/>
  <c r="BF91" i="1" s="1"/>
  <c r="AM86" i="1"/>
  <c r="BF86" i="1" s="1"/>
  <c r="AM87" i="1"/>
  <c r="BF87" i="1" s="1"/>
  <c r="AM88" i="1"/>
  <c r="BF88" i="1" s="1"/>
  <c r="AM89" i="1"/>
  <c r="BF89" i="1" s="1"/>
  <c r="AM92" i="1"/>
  <c r="BF92" i="1" s="1"/>
  <c r="AM93" i="1"/>
  <c r="BF93" i="1" s="1"/>
  <c r="AM94" i="1"/>
  <c r="BF94" i="1" s="1"/>
  <c r="AM95" i="1"/>
  <c r="BF95" i="1" s="1"/>
  <c r="AM96" i="1"/>
  <c r="BF96" i="1" s="1"/>
  <c r="AM97" i="1"/>
  <c r="BF97" i="1" s="1"/>
  <c r="AM98" i="1"/>
  <c r="BF98" i="1" s="1"/>
  <c r="AM99" i="1"/>
  <c r="BF99" i="1" s="1"/>
  <c r="AM100" i="1"/>
  <c r="BF100" i="1" s="1"/>
  <c r="AM101" i="1"/>
  <c r="BF101" i="1" s="1"/>
  <c r="AM102" i="1"/>
  <c r="BF102" i="1" s="1"/>
  <c r="AM103" i="1"/>
  <c r="BF103" i="1" s="1"/>
  <c r="AM104" i="1"/>
  <c r="BF104" i="1" s="1"/>
  <c r="AM105" i="1"/>
  <c r="BF105" i="1" s="1"/>
  <c r="AM107" i="1"/>
  <c r="BF107" i="1" s="1"/>
  <c r="AM108" i="1"/>
  <c r="BF108" i="1" s="1"/>
  <c r="AM109" i="1"/>
  <c r="BF109" i="1" s="1"/>
  <c r="AM110" i="1"/>
  <c r="BF110" i="1" s="1"/>
  <c r="AM111" i="1"/>
  <c r="BF111" i="1" s="1"/>
  <c r="AM112" i="1"/>
  <c r="BF112" i="1" s="1"/>
  <c r="AM113" i="1"/>
  <c r="BF113" i="1" s="1"/>
  <c r="AM114" i="1"/>
  <c r="BF114" i="1" s="1"/>
  <c r="AM115" i="1"/>
  <c r="BF115" i="1" s="1"/>
  <c r="AM116" i="1"/>
  <c r="BF116" i="1" s="1"/>
  <c r="AM117" i="1"/>
  <c r="BF117" i="1" s="1"/>
  <c r="AM118" i="1"/>
  <c r="BF118" i="1" s="1"/>
  <c r="AM119" i="1"/>
  <c r="BF119" i="1" s="1"/>
  <c r="AM122" i="1"/>
  <c r="BF122" i="1" s="1"/>
  <c r="AM123" i="1"/>
  <c r="BF123" i="1" s="1"/>
  <c r="AM124" i="1"/>
  <c r="BF124" i="1" s="1"/>
  <c r="AM125" i="1"/>
  <c r="BF125" i="1" s="1"/>
  <c r="AM126" i="1"/>
  <c r="BF126" i="1" s="1"/>
  <c r="AM127" i="1"/>
  <c r="BF127" i="1" s="1"/>
  <c r="AM128" i="1"/>
  <c r="BF128" i="1" s="1"/>
  <c r="AM129" i="1"/>
  <c r="BF129" i="1" s="1"/>
  <c r="AM130" i="1"/>
  <c r="BF130" i="1" s="1"/>
  <c r="AM131" i="1"/>
  <c r="BF131" i="1" s="1"/>
  <c r="AM134" i="1"/>
  <c r="BF134" i="1" s="1"/>
  <c r="AM135" i="1"/>
  <c r="BF135" i="1" s="1"/>
  <c r="AM136" i="1"/>
  <c r="BF136" i="1" s="1"/>
  <c r="AM138" i="1"/>
  <c r="BF138" i="1" s="1"/>
  <c r="AM139" i="1"/>
  <c r="BF139" i="1" s="1"/>
  <c r="AM140" i="1"/>
  <c r="BF140" i="1" s="1"/>
  <c r="AM141" i="1"/>
  <c r="BF141" i="1" s="1"/>
  <c r="AM142" i="1"/>
  <c r="BF142" i="1" s="1"/>
  <c r="AM143" i="1"/>
  <c r="BF143" i="1" s="1"/>
  <c r="AM145" i="1"/>
  <c r="BF145" i="1" s="1"/>
  <c r="AM144" i="1"/>
  <c r="BF144" i="1" s="1"/>
  <c r="AM146" i="1"/>
  <c r="BF146" i="1" s="1"/>
  <c r="AM147" i="1"/>
  <c r="BF147" i="1" s="1"/>
  <c r="AM148" i="1"/>
  <c r="BF148" i="1" s="1"/>
  <c r="AM149" i="1"/>
  <c r="BF149" i="1" s="1"/>
  <c r="AM150" i="1"/>
  <c r="BF150" i="1" s="1"/>
  <c r="AM151" i="1"/>
  <c r="BF151" i="1" s="1"/>
  <c r="AM152" i="1"/>
  <c r="BF152" i="1" s="1"/>
  <c r="AM153" i="1"/>
  <c r="BF153" i="1" s="1"/>
  <c r="AM154" i="1"/>
  <c r="BF154" i="1" s="1"/>
  <c r="AM155" i="1"/>
  <c r="BF155" i="1" s="1"/>
  <c r="AM156" i="1"/>
  <c r="BF156" i="1" s="1"/>
  <c r="AM157" i="1"/>
  <c r="BF157" i="1" s="1"/>
  <c r="AM158" i="1"/>
  <c r="BF158" i="1" s="1"/>
  <c r="AM159" i="1"/>
  <c r="BF159" i="1" s="1"/>
  <c r="AM160" i="1"/>
  <c r="BF160" i="1" s="1"/>
  <c r="AM161" i="1"/>
  <c r="BF161" i="1" s="1"/>
  <c r="AM162" i="1"/>
  <c r="BF162" i="1" s="1"/>
  <c r="AM163" i="1"/>
  <c r="BF163" i="1" s="1"/>
  <c r="AM164" i="1"/>
  <c r="BF164" i="1" s="1"/>
  <c r="AM168" i="1"/>
  <c r="BF168" i="1" s="1"/>
  <c r="AM169" i="1"/>
  <c r="BF169" i="1" s="1"/>
  <c r="AM170" i="1"/>
  <c r="BF170" i="1" s="1"/>
  <c r="AM166" i="1"/>
  <c r="BF166" i="1" s="1"/>
  <c r="AM167" i="1"/>
  <c r="BF167" i="1" s="1"/>
  <c r="AM174" i="1"/>
  <c r="BF174" i="1" s="1"/>
  <c r="AM175" i="1"/>
  <c r="BF175" i="1" s="1"/>
  <c r="AM176" i="1"/>
  <c r="BF176" i="1" s="1"/>
  <c r="AM177" i="1"/>
  <c r="BF177" i="1" s="1"/>
  <c r="AM178" i="1"/>
  <c r="BF178" i="1" s="1"/>
  <c r="AM179" i="1"/>
  <c r="BF179" i="1" s="1"/>
  <c r="AM180" i="1"/>
  <c r="BF180" i="1" s="1"/>
  <c r="AM181" i="1"/>
  <c r="BF181" i="1" s="1"/>
  <c r="AM185" i="1"/>
  <c r="BF185" i="1" s="1"/>
  <c r="AM182" i="1"/>
  <c r="BF182" i="1" s="1"/>
  <c r="AM183" i="1"/>
  <c r="BF183" i="1" s="1"/>
  <c r="AM184" i="1"/>
  <c r="BF184" i="1" s="1"/>
  <c r="AM198" i="1"/>
  <c r="BF198" i="1" s="1"/>
  <c r="AM199" i="1"/>
  <c r="BF199" i="1" s="1"/>
  <c r="AM188" i="1"/>
  <c r="BF188" i="1" s="1"/>
  <c r="AM192" i="1"/>
  <c r="BF192" i="1" s="1"/>
  <c r="AM193" i="1"/>
  <c r="BF193" i="1" s="1"/>
  <c r="AM194" i="1"/>
  <c r="BF194" i="1" s="1"/>
  <c r="AM223" i="1"/>
  <c r="BF223" i="1" s="1"/>
  <c r="AM224" i="1"/>
  <c r="BF224" i="1" s="1"/>
  <c r="AM225" i="1"/>
  <c r="BF225" i="1" s="1"/>
  <c r="AM229" i="1"/>
  <c r="BF229" i="1" s="1"/>
  <c r="AM230" i="1"/>
  <c r="BF230" i="1" s="1"/>
  <c r="AM231" i="1"/>
  <c r="BF231" i="1" s="1"/>
  <c r="AM232" i="1"/>
  <c r="BF232" i="1" s="1"/>
  <c r="AM235" i="1"/>
  <c r="BF235" i="1" s="1"/>
  <c r="AM236" i="1"/>
  <c r="BF236" i="1" s="1"/>
  <c r="AM237" i="1"/>
  <c r="BF237" i="1" s="1"/>
  <c r="AM238" i="1"/>
  <c r="BF238" i="1" s="1"/>
  <c r="AM239" i="1"/>
  <c r="BF239" i="1" s="1"/>
  <c r="AM240" i="1"/>
  <c r="BF240" i="1" s="1"/>
  <c r="AM241" i="1"/>
  <c r="BF241" i="1" s="1"/>
  <c r="AM242" i="1"/>
  <c r="BF242" i="1" s="1"/>
  <c r="AM245" i="1"/>
  <c r="BF245" i="1" s="1"/>
  <c r="AM246" i="1"/>
  <c r="BF246" i="1" s="1"/>
  <c r="AM248" i="1"/>
  <c r="BF248" i="1" s="1"/>
  <c r="AM249" i="1"/>
  <c r="BF249" i="1" s="1"/>
  <c r="AM252" i="1"/>
  <c r="BF252" i="1" s="1"/>
  <c r="AM253" i="1"/>
  <c r="BF253" i="1" s="1"/>
  <c r="AM254" i="1"/>
  <c r="BF254" i="1" s="1"/>
  <c r="AM255" i="1"/>
  <c r="BF255" i="1" s="1"/>
  <c r="AM256" i="1"/>
  <c r="BF256" i="1" s="1"/>
  <c r="AM260" i="1"/>
  <c r="BF260" i="1" s="1"/>
  <c r="AM261" i="1"/>
  <c r="BF261" i="1" s="1"/>
  <c r="AM262" i="1"/>
  <c r="BF262" i="1" s="1"/>
  <c r="AM263" i="1"/>
  <c r="BF263" i="1" s="1"/>
  <c r="W59" i="1"/>
  <c r="W60" i="1"/>
  <c r="W63" i="1"/>
  <c r="W64" i="1"/>
  <c r="W65" i="1"/>
  <c r="W66" i="1"/>
  <c r="W67" i="1"/>
  <c r="W68" i="1"/>
  <c r="W69" i="1"/>
  <c r="W70" i="1"/>
  <c r="W71" i="1"/>
  <c r="W99" i="1"/>
  <c r="W100" i="1"/>
  <c r="W101" i="1"/>
  <c r="W102" i="1"/>
  <c r="W103" i="1"/>
  <c r="W104" i="1"/>
  <c r="W105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2" i="1"/>
  <c r="W128" i="1"/>
  <c r="W129" i="1"/>
  <c r="W130" i="1"/>
  <c r="W131" i="1"/>
  <c r="W174" i="1"/>
  <c r="W175" i="1"/>
  <c r="W176" i="1"/>
  <c r="W177" i="1"/>
  <c r="W178" i="1"/>
  <c r="W179" i="1"/>
  <c r="W180" i="1"/>
  <c r="W181" i="1"/>
  <c r="W185" i="1"/>
  <c r="W182" i="1"/>
  <c r="W183" i="1"/>
  <c r="W184" i="1"/>
  <c r="W198" i="1"/>
  <c r="W199" i="1"/>
  <c r="W188" i="1"/>
  <c r="W192" i="1"/>
  <c r="W193" i="1"/>
  <c r="W194" i="1"/>
  <c r="W223" i="1"/>
  <c r="W224" i="1"/>
  <c r="W225" i="1"/>
  <c r="W229" i="1"/>
  <c r="W230" i="1"/>
  <c r="W231" i="1"/>
  <c r="W232" i="1"/>
  <c r="W235" i="1"/>
  <c r="W236" i="1"/>
  <c r="W237" i="1"/>
  <c r="W238" i="1"/>
  <c r="W239" i="1"/>
  <c r="W240" i="1"/>
  <c r="W241" i="1"/>
  <c r="W242" i="1"/>
  <c r="W245" i="1"/>
  <c r="W246" i="1"/>
  <c r="W248" i="1"/>
  <c r="W249" i="1"/>
  <c r="W252" i="1"/>
  <c r="W253" i="1"/>
  <c r="W254" i="1"/>
  <c r="W255" i="1"/>
  <c r="W256" i="1"/>
  <c r="W260" i="1"/>
  <c r="W261" i="1"/>
  <c r="W262" i="1"/>
  <c r="W263" i="1"/>
  <c r="Y59" i="1"/>
  <c r="Y60" i="1"/>
  <c r="Y63" i="1"/>
  <c r="Y64" i="1"/>
  <c r="Y65" i="1"/>
  <c r="Y66" i="1"/>
  <c r="Y67" i="1"/>
  <c r="Y68" i="1"/>
  <c r="Y69" i="1"/>
  <c r="Y70" i="1"/>
  <c r="Y71" i="1"/>
  <c r="Y74" i="1"/>
  <c r="W74" i="1" s="1"/>
  <c r="Y75" i="1"/>
  <c r="W75" i="1" s="1"/>
  <c r="Y76" i="1"/>
  <c r="W76" i="1" s="1"/>
  <c r="Y77" i="1"/>
  <c r="W77" i="1" s="1"/>
  <c r="Y78" i="1"/>
  <c r="W78" i="1" s="1"/>
  <c r="Y79" i="1"/>
  <c r="W79" i="1" s="1"/>
  <c r="Y80" i="1"/>
  <c r="W80" i="1" s="1"/>
  <c r="Y81" i="1"/>
  <c r="W81" i="1" s="1"/>
  <c r="Y82" i="1"/>
  <c r="W82" i="1" s="1"/>
  <c r="Y83" i="1"/>
  <c r="W83" i="1" s="1"/>
  <c r="Y84" i="1"/>
  <c r="W84" i="1" s="1"/>
  <c r="Y85" i="1"/>
  <c r="W85" i="1" s="1"/>
  <c r="Y90" i="1"/>
  <c r="W90" i="1" s="1"/>
  <c r="Y91" i="1"/>
  <c r="W91" i="1" s="1"/>
  <c r="Y86" i="1"/>
  <c r="W86" i="1" s="1"/>
  <c r="Y87" i="1"/>
  <c r="W87" i="1" s="1"/>
  <c r="Y88" i="1"/>
  <c r="W88" i="1" s="1"/>
  <c r="Y89" i="1"/>
  <c r="W89" i="1" s="1"/>
  <c r="Y92" i="1"/>
  <c r="W92" i="1" s="1"/>
  <c r="Y93" i="1"/>
  <c r="W93" i="1" s="1"/>
  <c r="Y94" i="1"/>
  <c r="W94" i="1" s="1"/>
  <c r="Y95" i="1"/>
  <c r="W95" i="1" s="1"/>
  <c r="Y96" i="1"/>
  <c r="W96" i="1" s="1"/>
  <c r="Y97" i="1"/>
  <c r="W97" i="1" s="1"/>
  <c r="Y98" i="1"/>
  <c r="W98" i="1" s="1"/>
  <c r="Y99" i="1"/>
  <c r="Y100" i="1"/>
  <c r="Y101" i="1"/>
  <c r="Y102" i="1"/>
  <c r="Y103" i="1"/>
  <c r="Y104" i="1"/>
  <c r="Y105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2" i="1"/>
  <c r="Y123" i="1"/>
  <c r="W123" i="1" s="1"/>
  <c r="Y124" i="1"/>
  <c r="W124" i="1" s="1"/>
  <c r="Y125" i="1"/>
  <c r="W125" i="1" s="1"/>
  <c r="Y126" i="1"/>
  <c r="W126" i="1" s="1"/>
  <c r="Y127" i="1"/>
  <c r="W127" i="1" s="1"/>
  <c r="Y128" i="1"/>
  <c r="Y129" i="1"/>
  <c r="Y130" i="1"/>
  <c r="Y131" i="1"/>
  <c r="Y134" i="1"/>
  <c r="W134" i="1" s="1"/>
  <c r="Y135" i="1"/>
  <c r="W135" i="1" s="1"/>
  <c r="Y136" i="1"/>
  <c r="W136" i="1" s="1"/>
  <c r="Y138" i="1"/>
  <c r="W138" i="1" s="1"/>
  <c r="Y139" i="1"/>
  <c r="W139" i="1" s="1"/>
  <c r="Y140" i="1"/>
  <c r="W140" i="1" s="1"/>
  <c r="Y141" i="1"/>
  <c r="W141" i="1" s="1"/>
  <c r="Y142" i="1"/>
  <c r="W142" i="1" s="1"/>
  <c r="Y143" i="1"/>
  <c r="W143" i="1" s="1"/>
  <c r="Y145" i="1"/>
  <c r="W145" i="1" s="1"/>
  <c r="Y144" i="1"/>
  <c r="W144" i="1" s="1"/>
  <c r="Y146" i="1"/>
  <c r="W146" i="1" s="1"/>
  <c r="Y147" i="1"/>
  <c r="W147" i="1" s="1"/>
  <c r="Y148" i="1"/>
  <c r="W148" i="1" s="1"/>
  <c r="Y149" i="1"/>
  <c r="W149" i="1" s="1"/>
  <c r="Y150" i="1"/>
  <c r="W150" i="1" s="1"/>
  <c r="Y151" i="1"/>
  <c r="W151" i="1" s="1"/>
  <c r="Y152" i="1"/>
  <c r="W152" i="1" s="1"/>
  <c r="Y153" i="1"/>
  <c r="W153" i="1" s="1"/>
  <c r="Y154" i="1"/>
  <c r="W154" i="1" s="1"/>
  <c r="Y155" i="1"/>
  <c r="W155" i="1" s="1"/>
  <c r="Y156" i="1"/>
  <c r="W156" i="1" s="1"/>
  <c r="Y157" i="1"/>
  <c r="W157" i="1" s="1"/>
  <c r="Y158" i="1"/>
  <c r="W158" i="1" s="1"/>
  <c r="Y159" i="1"/>
  <c r="W159" i="1" s="1"/>
  <c r="Y160" i="1"/>
  <c r="W160" i="1" s="1"/>
  <c r="Y161" i="1"/>
  <c r="W161" i="1" s="1"/>
  <c r="Y162" i="1"/>
  <c r="W162" i="1" s="1"/>
  <c r="Y163" i="1"/>
  <c r="W163" i="1" s="1"/>
  <c r="Y164" i="1"/>
  <c r="W164" i="1" s="1"/>
  <c r="Y168" i="1"/>
  <c r="W168" i="1" s="1"/>
  <c r="Y169" i="1"/>
  <c r="W169" i="1" s="1"/>
  <c r="Y170" i="1"/>
  <c r="W170" i="1" s="1"/>
  <c r="Y166" i="1"/>
  <c r="W166" i="1" s="1"/>
  <c r="Y167" i="1"/>
  <c r="W167" i="1" s="1"/>
  <c r="Y174" i="1"/>
  <c r="Y175" i="1"/>
  <c r="Y176" i="1"/>
  <c r="Y177" i="1"/>
  <c r="Y178" i="1"/>
  <c r="Y179" i="1"/>
  <c r="Y180" i="1"/>
  <c r="Y181" i="1"/>
  <c r="Y185" i="1"/>
  <c r="Y182" i="1"/>
  <c r="Y183" i="1"/>
  <c r="Y184" i="1"/>
  <c r="Y198" i="1"/>
  <c r="Y199" i="1"/>
  <c r="Y188" i="1"/>
  <c r="Y192" i="1"/>
  <c r="Y193" i="1"/>
  <c r="Y194" i="1"/>
  <c r="Y223" i="1"/>
  <c r="Y224" i="1"/>
  <c r="Y225" i="1"/>
  <c r="Y229" i="1"/>
  <c r="Y230" i="1"/>
  <c r="Y231" i="1"/>
  <c r="Y232" i="1"/>
  <c r="Y235" i="1"/>
  <c r="Y236" i="1"/>
  <c r="Y237" i="1"/>
  <c r="Y238" i="1"/>
  <c r="Y239" i="1"/>
  <c r="Y240" i="1"/>
  <c r="Y241" i="1"/>
  <c r="Y242" i="1"/>
  <c r="Y245" i="1"/>
  <c r="Y246" i="1"/>
  <c r="Y248" i="1"/>
  <c r="Y249" i="1"/>
  <c r="Y252" i="1"/>
  <c r="Y253" i="1"/>
  <c r="Y254" i="1"/>
  <c r="Y255" i="1"/>
  <c r="Y256" i="1"/>
  <c r="Y260" i="1"/>
  <c r="Y261" i="1"/>
  <c r="Y262" i="1"/>
  <c r="Y263" i="1"/>
  <c r="Y58" i="1"/>
  <c r="W58" i="1" s="1"/>
  <c r="E9" i="8" l="1"/>
  <c r="H9" i="8"/>
  <c r="I9" i="8"/>
  <c r="K9" i="8"/>
  <c r="C9" i="8"/>
  <c r="F9" i="8"/>
  <c r="T9" i="8"/>
  <c r="D9" i="8"/>
  <c r="AP30" i="1"/>
  <c r="AP8" i="1"/>
  <c r="AU8" i="1"/>
  <c r="AO244" i="1"/>
  <c r="AP228" i="1"/>
  <c r="AP55" i="1"/>
  <c r="AP34" i="1"/>
  <c r="AR8" i="1"/>
  <c r="P3" i="8"/>
  <c r="BF30" i="1"/>
  <c r="AP12" i="1"/>
  <c r="AU12" i="1"/>
  <c r="BF26" i="1"/>
  <c r="AO12" i="1"/>
  <c r="AO30" i="1"/>
  <c r="AO26" i="1"/>
  <c r="AQ265" i="1"/>
  <c r="E30" i="8" s="1"/>
  <c r="AQ228" i="1"/>
  <c r="E21" i="8" s="1"/>
  <c r="AR34" i="1"/>
  <c r="AT12" i="1"/>
  <c r="AU30" i="1"/>
  <c r="AW34" i="1"/>
  <c r="AT234" i="1"/>
  <c r="I8" i="8"/>
  <c r="AT30" i="1"/>
  <c r="AQ172" i="1"/>
  <c r="BF172" i="1"/>
  <c r="AT172" i="1"/>
  <c r="AR172" i="1"/>
  <c r="AW172" i="1"/>
  <c r="AP172" i="1"/>
  <c r="AU172" i="1"/>
  <c r="AR18" i="1"/>
  <c r="AR228" i="1"/>
  <c r="AR55" i="1"/>
  <c r="AW228" i="1"/>
  <c r="AW55" i="1"/>
  <c r="AT259" i="1"/>
  <c r="AW8" i="1"/>
  <c r="BF12" i="1"/>
  <c r="AQ30" i="1"/>
  <c r="BF259" i="1"/>
  <c r="AQ62" i="1"/>
  <c r="E11" i="8" s="1"/>
  <c r="AR251" i="1"/>
  <c r="AU228" i="1"/>
  <c r="AU55" i="1"/>
  <c r="AW251" i="1"/>
  <c r="AW18" i="1"/>
  <c r="BF187" i="1"/>
  <c r="AQ55" i="1"/>
  <c r="E10" i="8" s="1"/>
  <c r="AQ34" i="1"/>
  <c r="AR12" i="1"/>
  <c r="AT26" i="1"/>
  <c r="BF34" i="1"/>
  <c r="AO34" i="1"/>
  <c r="AT34" i="1"/>
  <c r="BF265" i="1"/>
  <c r="BF244" i="1"/>
  <c r="BF212" i="1"/>
  <c r="AP62" i="1"/>
  <c r="AQ187" i="1"/>
  <c r="E16" i="8" s="1"/>
  <c r="AQ133" i="1"/>
  <c r="E14" i="8" s="1"/>
  <c r="AQ26" i="1"/>
  <c r="E6" i="8" s="1"/>
  <c r="AT244" i="1"/>
  <c r="AT212" i="1"/>
  <c r="AU62" i="1"/>
  <c r="AQ8" i="1"/>
  <c r="BF234" i="1"/>
  <c r="BF121" i="1"/>
  <c r="AO265" i="1"/>
  <c r="AO228" i="1"/>
  <c r="AP265" i="1"/>
  <c r="AP73" i="1"/>
  <c r="AT121" i="1"/>
  <c r="AU265" i="1"/>
  <c r="AU73" i="1"/>
  <c r="AQ73" i="1"/>
  <c r="AT187" i="1"/>
  <c r="AT133" i="1"/>
  <c r="AW12" i="1"/>
  <c r="BF62" i="1"/>
  <c r="AO8" i="1"/>
  <c r="AO251" i="1"/>
  <c r="AP251" i="1"/>
  <c r="AP18" i="1"/>
  <c r="AR244" i="1"/>
  <c r="AR212" i="1"/>
  <c r="AT62" i="1"/>
  <c r="AU251" i="1"/>
  <c r="AU18" i="1"/>
  <c r="AW244" i="1"/>
  <c r="AW212" i="1"/>
  <c r="BF73" i="1"/>
  <c r="BF55" i="1"/>
  <c r="AO55" i="1"/>
  <c r="AQ251" i="1"/>
  <c r="E26" i="8" s="1"/>
  <c r="AQ18" i="1"/>
  <c r="E5" i="8" s="1"/>
  <c r="AR259" i="1"/>
  <c r="AR234" i="1"/>
  <c r="AR121" i="1"/>
  <c r="AT265" i="1"/>
  <c r="AT228" i="1"/>
  <c r="AT73" i="1"/>
  <c r="AT55" i="1"/>
  <c r="AW259" i="1"/>
  <c r="AW234" i="1"/>
  <c r="AW121" i="1"/>
  <c r="BF228" i="1"/>
  <c r="AO212" i="1"/>
  <c r="AP244" i="1"/>
  <c r="AP212" i="1"/>
  <c r="AQ12" i="1"/>
  <c r="E4" i="8" s="1"/>
  <c r="AR187" i="1"/>
  <c r="AR133" i="1"/>
  <c r="AR30" i="1"/>
  <c r="AR26" i="1"/>
  <c r="AU244" i="1"/>
  <c r="AU212" i="1"/>
  <c r="AW187" i="1"/>
  <c r="AW133" i="1"/>
  <c r="AW30" i="1"/>
  <c r="AW26" i="1"/>
  <c r="BF133" i="1"/>
  <c r="BF8" i="1"/>
  <c r="BF251" i="1"/>
  <c r="BF18" i="1"/>
  <c r="AO259" i="1"/>
  <c r="AO234" i="1"/>
  <c r="AO73" i="1"/>
  <c r="AO18" i="1"/>
  <c r="AP259" i="1"/>
  <c r="AP234" i="1"/>
  <c r="AP121" i="1"/>
  <c r="AQ244" i="1"/>
  <c r="E25" i="8" s="1"/>
  <c r="AQ212" i="1"/>
  <c r="E17" i="8" s="1"/>
  <c r="AR62" i="1"/>
  <c r="AT8" i="1"/>
  <c r="AT251" i="1"/>
  <c r="AT18" i="1"/>
  <c r="AU259" i="1"/>
  <c r="AU234" i="1"/>
  <c r="AU121" i="1"/>
  <c r="AW62" i="1"/>
  <c r="AO187" i="1"/>
  <c r="AP187" i="1"/>
  <c r="AP133" i="1"/>
  <c r="AP26" i="1"/>
  <c r="AQ259" i="1"/>
  <c r="AQ234" i="1"/>
  <c r="E24" i="8" s="1"/>
  <c r="AQ121" i="1"/>
  <c r="E13" i="8" s="1"/>
  <c r="AR265" i="1"/>
  <c r="AR73" i="1"/>
  <c r="AU187" i="1"/>
  <c r="AU133" i="1"/>
  <c r="AU26" i="1"/>
  <c r="AW265" i="1"/>
  <c r="AW73" i="1"/>
  <c r="AZ262" i="1"/>
  <c r="AY262" i="1"/>
  <c r="BA103" i="1"/>
  <c r="AZ103" i="1"/>
  <c r="AY103" i="1"/>
  <c r="AX103" i="1"/>
  <c r="AZ48" i="1"/>
  <c r="AY48" i="1"/>
  <c r="BA48" i="1"/>
  <c r="AX48" i="1"/>
  <c r="AZ249" i="1"/>
  <c r="AY249" i="1"/>
  <c r="BA63" i="1"/>
  <c r="BA73" i="1" s="1"/>
  <c r="AZ63" i="1"/>
  <c r="AX63" i="1"/>
  <c r="AY63" i="1"/>
  <c r="BA260" i="1"/>
  <c r="AZ260" i="1"/>
  <c r="AY260" i="1"/>
  <c r="AX260" i="1"/>
  <c r="AZ248" i="1"/>
  <c r="BA248" i="1"/>
  <c r="AX248" i="1"/>
  <c r="AY248" i="1"/>
  <c r="BA239" i="1"/>
  <c r="AZ239" i="1"/>
  <c r="AY239" i="1"/>
  <c r="AX239" i="1"/>
  <c r="AZ224" i="1"/>
  <c r="BA224" i="1"/>
  <c r="AY224" i="1"/>
  <c r="AX224" i="1"/>
  <c r="AZ184" i="1"/>
  <c r="BA184" i="1"/>
  <c r="AY184" i="1"/>
  <c r="AX184" i="1"/>
  <c r="AZ181" i="1"/>
  <c r="BA181" i="1"/>
  <c r="AY181" i="1"/>
  <c r="AX181" i="1"/>
  <c r="BA131" i="1"/>
  <c r="AZ131" i="1"/>
  <c r="AX131" i="1"/>
  <c r="AY131" i="1"/>
  <c r="BA112" i="1"/>
  <c r="AY112" i="1"/>
  <c r="AZ112" i="1"/>
  <c r="AX112" i="1"/>
  <c r="BA101" i="1"/>
  <c r="AY101" i="1"/>
  <c r="AZ101" i="1"/>
  <c r="AX101" i="1"/>
  <c r="AZ60" i="1"/>
  <c r="BA60" i="1"/>
  <c r="AY60" i="1"/>
  <c r="AX60" i="1"/>
  <c r="BA38" i="1"/>
  <c r="BA46" i="1" s="1"/>
  <c r="AY38" i="1"/>
  <c r="AY46" i="1" s="1"/>
  <c r="AZ38" i="1"/>
  <c r="AZ46" i="1" s="1"/>
  <c r="AX38" i="1"/>
  <c r="AY32" i="1"/>
  <c r="AZ32" i="1"/>
  <c r="BA24" i="1"/>
  <c r="AY24" i="1"/>
  <c r="AX24" i="1"/>
  <c r="AZ24" i="1"/>
  <c r="BA16" i="1"/>
  <c r="AZ16" i="1"/>
  <c r="AX16" i="1"/>
  <c r="AY16" i="1"/>
  <c r="BA241" i="1"/>
  <c r="AZ241" i="1"/>
  <c r="AX241" i="1"/>
  <c r="AY241" i="1"/>
  <c r="AZ20" i="1"/>
  <c r="BA20" i="1"/>
  <c r="AY20" i="1"/>
  <c r="AX20" i="1"/>
  <c r="BA261" i="1"/>
  <c r="AZ261" i="1"/>
  <c r="AY261" i="1"/>
  <c r="AX261" i="1"/>
  <c r="BA225" i="1"/>
  <c r="AZ225" i="1"/>
  <c r="AY225" i="1"/>
  <c r="AX225" i="1"/>
  <c r="BA4" i="1"/>
  <c r="AZ4" i="1"/>
  <c r="AY4" i="1"/>
  <c r="AX4" i="1"/>
  <c r="BA256" i="1"/>
  <c r="AZ256" i="1"/>
  <c r="AY256" i="1"/>
  <c r="AX256" i="1"/>
  <c r="AY246" i="1"/>
  <c r="BA246" i="1"/>
  <c r="AZ246" i="1"/>
  <c r="AX246" i="1"/>
  <c r="BA238" i="1"/>
  <c r="AZ238" i="1"/>
  <c r="AY238" i="1"/>
  <c r="AX238" i="1"/>
  <c r="AZ223" i="1"/>
  <c r="BA223" i="1"/>
  <c r="AY223" i="1"/>
  <c r="AX223" i="1"/>
  <c r="AZ183" i="1"/>
  <c r="AY183" i="1"/>
  <c r="BA183" i="1"/>
  <c r="AX183" i="1"/>
  <c r="BA180" i="1"/>
  <c r="AY180" i="1"/>
  <c r="AZ180" i="1"/>
  <c r="AX180" i="1"/>
  <c r="BA130" i="1"/>
  <c r="AZ130" i="1"/>
  <c r="AY130" i="1"/>
  <c r="AX130" i="1"/>
  <c r="AZ119" i="1"/>
  <c r="BA119" i="1"/>
  <c r="AY119" i="1"/>
  <c r="AX119" i="1"/>
  <c r="AZ111" i="1"/>
  <c r="BA111" i="1"/>
  <c r="AY111" i="1"/>
  <c r="AX111" i="1"/>
  <c r="BA100" i="1"/>
  <c r="AZ100" i="1"/>
  <c r="AY100" i="1"/>
  <c r="AX100" i="1"/>
  <c r="AZ71" i="1"/>
  <c r="AY71" i="1"/>
  <c r="AY65" i="1"/>
  <c r="AZ65" i="1"/>
  <c r="BA59" i="1"/>
  <c r="AZ59" i="1"/>
  <c r="AX59" i="1"/>
  <c r="AY59" i="1"/>
  <c r="BA31" i="1"/>
  <c r="BA34" i="1" s="1"/>
  <c r="AY31" i="1"/>
  <c r="AZ31" i="1"/>
  <c r="AX31" i="1"/>
  <c r="BA23" i="1"/>
  <c r="AY23" i="1"/>
  <c r="AZ23" i="1"/>
  <c r="AX23" i="1"/>
  <c r="BA15" i="1"/>
  <c r="AY15" i="1"/>
  <c r="AZ15" i="1"/>
  <c r="AX15" i="1"/>
  <c r="BA175" i="1"/>
  <c r="AZ175" i="1"/>
  <c r="AX175" i="1"/>
  <c r="AY175" i="1"/>
  <c r="AZ66" i="1"/>
  <c r="AY66" i="1"/>
  <c r="AZ102" i="1"/>
  <c r="BA102" i="1"/>
  <c r="AX102" i="1"/>
  <c r="AY102" i="1"/>
  <c r="BA27" i="1"/>
  <c r="AY27" i="1"/>
  <c r="AX27" i="1"/>
  <c r="AZ27" i="1"/>
  <c r="AZ255" i="1"/>
  <c r="BA255" i="1"/>
  <c r="AY255" i="1"/>
  <c r="AX255" i="1"/>
  <c r="AZ245" i="1"/>
  <c r="BA245" i="1"/>
  <c r="AY245" i="1"/>
  <c r="AX245" i="1"/>
  <c r="AZ237" i="1"/>
  <c r="BA237" i="1"/>
  <c r="AY237" i="1"/>
  <c r="AX237" i="1"/>
  <c r="AZ232" i="1"/>
  <c r="BA232" i="1"/>
  <c r="AY232" i="1"/>
  <c r="AX232" i="1"/>
  <c r="AZ194" i="1"/>
  <c r="BA194" i="1"/>
  <c r="AY194" i="1"/>
  <c r="AX194" i="1"/>
  <c r="AZ182" i="1"/>
  <c r="BA182" i="1"/>
  <c r="AY182" i="1"/>
  <c r="AX182" i="1"/>
  <c r="AZ179" i="1"/>
  <c r="BA179" i="1"/>
  <c r="AY179" i="1"/>
  <c r="AX179" i="1"/>
  <c r="AZ129" i="1"/>
  <c r="BA129" i="1"/>
  <c r="AY129" i="1"/>
  <c r="AX129" i="1"/>
  <c r="AZ118" i="1"/>
  <c r="BA118" i="1"/>
  <c r="AY118" i="1"/>
  <c r="AX118" i="1"/>
  <c r="AZ110" i="1"/>
  <c r="BA110" i="1"/>
  <c r="AY110" i="1"/>
  <c r="AX110" i="1"/>
  <c r="AZ99" i="1"/>
  <c r="BA99" i="1"/>
  <c r="AY99" i="1"/>
  <c r="AX99" i="1"/>
  <c r="AY70" i="1"/>
  <c r="AZ70" i="1"/>
  <c r="AY64" i="1"/>
  <c r="AZ64" i="1"/>
  <c r="BA22" i="1"/>
  <c r="AY22" i="1"/>
  <c r="AZ22" i="1"/>
  <c r="AX22" i="1"/>
  <c r="AY14" i="1"/>
  <c r="AZ14" i="1"/>
  <c r="BA14" i="1"/>
  <c r="AX14" i="1"/>
  <c r="BA199" i="1"/>
  <c r="AZ199" i="1"/>
  <c r="AY199" i="1"/>
  <c r="AX199" i="1"/>
  <c r="BA240" i="1"/>
  <c r="AZ240" i="1"/>
  <c r="AY240" i="1"/>
  <c r="AX240" i="1"/>
  <c r="BA174" i="1"/>
  <c r="AZ174" i="1"/>
  <c r="AY174" i="1"/>
  <c r="AX174" i="1"/>
  <c r="AZ113" i="1"/>
  <c r="BA113" i="1"/>
  <c r="AY113" i="1"/>
  <c r="AX113" i="1"/>
  <c r="AZ263" i="1"/>
  <c r="BA263" i="1"/>
  <c r="AY263" i="1"/>
  <c r="AX263" i="1"/>
  <c r="AZ254" i="1"/>
  <c r="BA254" i="1"/>
  <c r="AY254" i="1"/>
  <c r="AX254" i="1"/>
  <c r="AZ236" i="1"/>
  <c r="BA236" i="1"/>
  <c r="AY236" i="1"/>
  <c r="AX236" i="1"/>
  <c r="AZ231" i="1"/>
  <c r="BA231" i="1"/>
  <c r="AY231" i="1"/>
  <c r="AX231" i="1"/>
  <c r="AZ193" i="1"/>
  <c r="BA193" i="1"/>
  <c r="AY193" i="1"/>
  <c r="AX193" i="1"/>
  <c r="AZ185" i="1"/>
  <c r="BA185" i="1"/>
  <c r="AY185" i="1"/>
  <c r="AX185" i="1"/>
  <c r="AZ178" i="1"/>
  <c r="BA178" i="1"/>
  <c r="AY178" i="1"/>
  <c r="AX178" i="1"/>
  <c r="BA128" i="1"/>
  <c r="AY128" i="1"/>
  <c r="AZ128" i="1"/>
  <c r="AX128" i="1"/>
  <c r="AY117" i="1"/>
  <c r="AZ117" i="1"/>
  <c r="BA117" i="1"/>
  <c r="AX117" i="1"/>
  <c r="BA109" i="1"/>
  <c r="AY109" i="1"/>
  <c r="AZ109" i="1"/>
  <c r="AX109" i="1"/>
  <c r="AY69" i="1"/>
  <c r="AZ69" i="1"/>
  <c r="BA57" i="1"/>
  <c r="AZ57" i="1"/>
  <c r="AY57" i="1"/>
  <c r="AX57" i="1"/>
  <c r="BA13" i="1"/>
  <c r="AZ13" i="1"/>
  <c r="AY13" i="1"/>
  <c r="AX13" i="1"/>
  <c r="BA10" i="1"/>
  <c r="AZ10" i="1"/>
  <c r="AY10" i="1"/>
  <c r="AX10" i="1"/>
  <c r="BA122" i="1"/>
  <c r="AZ122" i="1"/>
  <c r="AY122" i="1"/>
  <c r="AX122" i="1"/>
  <c r="AZ6" i="1"/>
  <c r="AY6" i="1"/>
  <c r="AY253" i="1"/>
  <c r="BA253" i="1"/>
  <c r="AZ253" i="1"/>
  <c r="AX253" i="1"/>
  <c r="BA235" i="1"/>
  <c r="AZ235" i="1"/>
  <c r="AY235" i="1"/>
  <c r="AX235" i="1"/>
  <c r="AY230" i="1"/>
  <c r="AZ230" i="1"/>
  <c r="AX230" i="1"/>
  <c r="BA230" i="1"/>
  <c r="BA192" i="1"/>
  <c r="AY192" i="1"/>
  <c r="AX192" i="1"/>
  <c r="AZ192" i="1"/>
  <c r="BA177" i="1"/>
  <c r="AY177" i="1"/>
  <c r="AZ177" i="1"/>
  <c r="AX177" i="1"/>
  <c r="BA124" i="1"/>
  <c r="AY116" i="1"/>
  <c r="AZ116" i="1"/>
  <c r="BA116" i="1"/>
  <c r="AX116" i="1"/>
  <c r="AY108" i="1"/>
  <c r="BA108" i="1"/>
  <c r="AX108" i="1"/>
  <c r="AZ108" i="1"/>
  <c r="AY105" i="1"/>
  <c r="AZ105" i="1"/>
  <c r="BA105" i="1"/>
  <c r="AX105" i="1"/>
  <c r="AY68" i="1"/>
  <c r="AZ68" i="1"/>
  <c r="AY56" i="1"/>
  <c r="BA56" i="1"/>
  <c r="AX56" i="1"/>
  <c r="AZ56" i="1"/>
  <c r="BA9" i="1"/>
  <c r="AZ9" i="1"/>
  <c r="AY9" i="1"/>
  <c r="AX9" i="1"/>
  <c r="BA114" i="1"/>
  <c r="AZ114" i="1"/>
  <c r="AY114" i="1"/>
  <c r="AX114" i="1"/>
  <c r="AZ28" i="1"/>
  <c r="BA28" i="1"/>
  <c r="AY28" i="1"/>
  <c r="AX28" i="1"/>
  <c r="BA198" i="1"/>
  <c r="AY198" i="1"/>
  <c r="AX198" i="1"/>
  <c r="AZ198" i="1"/>
  <c r="BA47" i="1"/>
  <c r="AY47" i="1"/>
  <c r="AZ47" i="1"/>
  <c r="AX47" i="1"/>
  <c r="BA19" i="1"/>
  <c r="AZ19" i="1"/>
  <c r="AX19" i="1"/>
  <c r="AY19" i="1"/>
  <c r="AY252" i="1"/>
  <c r="BA252" i="1"/>
  <c r="AZ252" i="1"/>
  <c r="AX252" i="1"/>
  <c r="AY242" i="1"/>
  <c r="BA242" i="1"/>
  <c r="AX242" i="1"/>
  <c r="AZ242" i="1"/>
  <c r="AY229" i="1"/>
  <c r="AZ229" i="1"/>
  <c r="BA229" i="1"/>
  <c r="AX229" i="1"/>
  <c r="AY188" i="1"/>
  <c r="AZ188" i="1"/>
  <c r="AX188" i="1"/>
  <c r="BA188" i="1"/>
  <c r="AY176" i="1"/>
  <c r="BA176" i="1"/>
  <c r="AZ176" i="1"/>
  <c r="AX176" i="1"/>
  <c r="BA123" i="1"/>
  <c r="BA115" i="1"/>
  <c r="AZ115" i="1"/>
  <c r="AX115" i="1"/>
  <c r="AY115" i="1"/>
  <c r="BA107" i="1"/>
  <c r="AZ107" i="1"/>
  <c r="AY107" i="1"/>
  <c r="AX107" i="1"/>
  <c r="BA104" i="1"/>
  <c r="AZ104" i="1"/>
  <c r="AX104" i="1"/>
  <c r="AY104" i="1"/>
  <c r="AZ67" i="1"/>
  <c r="AY67" i="1"/>
  <c r="BA49" i="1"/>
  <c r="AZ49" i="1"/>
  <c r="AY49" i="1"/>
  <c r="AX49" i="1"/>
  <c r="BA5" i="1"/>
  <c r="AZ5" i="1"/>
  <c r="AY5" i="1"/>
  <c r="AX5" i="1"/>
  <c r="X241" i="1" a="1"/>
  <c r="X241" i="1" s="1"/>
  <c r="X242" i="1" a="1"/>
  <c r="X242" i="1" s="1"/>
  <c r="X245" i="1" a="1"/>
  <c r="X245" i="1" s="1"/>
  <c r="X246" i="1" a="1"/>
  <c r="X246" i="1" s="1"/>
  <c r="X248" i="1" a="1"/>
  <c r="X248" i="1" s="1"/>
  <c r="X249" i="1" a="1"/>
  <c r="X249" i="1" s="1"/>
  <c r="X252" i="1" a="1"/>
  <c r="X252" i="1" s="1"/>
  <c r="X253" i="1" a="1"/>
  <c r="X253" i="1" s="1"/>
  <c r="X254" i="1" a="1"/>
  <c r="X254" i="1" s="1"/>
  <c r="X255" i="1" a="1"/>
  <c r="X255" i="1" s="1"/>
  <c r="X256" i="1" a="1"/>
  <c r="X256" i="1" s="1"/>
  <c r="X260" i="1" a="1"/>
  <c r="X260" i="1" s="1"/>
  <c r="X261" i="1" a="1"/>
  <c r="X261" i="1" s="1"/>
  <c r="X262" i="1" a="1"/>
  <c r="X262" i="1" s="1"/>
  <c r="X263" i="1" a="1"/>
  <c r="X263" i="1" s="1"/>
  <c r="X147" i="1" a="1"/>
  <c r="X147" i="1" s="1"/>
  <c r="AO147" i="1" s="1"/>
  <c r="X148" i="1" a="1"/>
  <c r="X148" i="1" s="1"/>
  <c r="AO148" i="1" s="1"/>
  <c r="X149" i="1" a="1"/>
  <c r="X149" i="1" s="1"/>
  <c r="AO149" i="1" s="1"/>
  <c r="X150" i="1" a="1"/>
  <c r="X150" i="1" s="1"/>
  <c r="AO150" i="1" s="1"/>
  <c r="X151" i="1" a="1"/>
  <c r="X151" i="1" s="1"/>
  <c r="AO151" i="1" s="1"/>
  <c r="X152" i="1" a="1"/>
  <c r="X152" i="1" s="1"/>
  <c r="AO152" i="1" s="1"/>
  <c r="X153" i="1" a="1"/>
  <c r="X153" i="1" s="1"/>
  <c r="AO153" i="1" s="1"/>
  <c r="X154" i="1" a="1"/>
  <c r="X154" i="1" s="1"/>
  <c r="AO154" i="1" s="1"/>
  <c r="X155" i="1" a="1"/>
  <c r="X155" i="1" s="1"/>
  <c r="AO155" i="1" s="1"/>
  <c r="X156" i="1" a="1"/>
  <c r="X156" i="1" s="1"/>
  <c r="AO156" i="1" s="1"/>
  <c r="X157" i="1" a="1"/>
  <c r="X157" i="1" s="1"/>
  <c r="AO157" i="1" s="1"/>
  <c r="X158" i="1" a="1"/>
  <c r="X158" i="1" s="1"/>
  <c r="AO158" i="1" s="1"/>
  <c r="X159" i="1" a="1"/>
  <c r="X159" i="1" s="1"/>
  <c r="AO159" i="1" s="1"/>
  <c r="X160" i="1" a="1"/>
  <c r="X160" i="1" s="1"/>
  <c r="AO160" i="1" s="1"/>
  <c r="X161" i="1" a="1"/>
  <c r="X161" i="1" s="1"/>
  <c r="AO161" i="1" s="1"/>
  <c r="X162" i="1" a="1"/>
  <c r="X162" i="1" s="1"/>
  <c r="AO162" i="1" s="1"/>
  <c r="X163" i="1" a="1"/>
  <c r="X163" i="1" s="1"/>
  <c r="AO163" i="1" s="1"/>
  <c r="X164" i="1" a="1"/>
  <c r="X164" i="1" s="1"/>
  <c r="AO164" i="1" s="1"/>
  <c r="X168" i="1" a="1"/>
  <c r="X168" i="1" s="1"/>
  <c r="AO168" i="1" s="1"/>
  <c r="X169" i="1" a="1"/>
  <c r="X169" i="1" s="1"/>
  <c r="AO169" i="1" s="1"/>
  <c r="X170" i="1" a="1"/>
  <c r="X170" i="1" s="1"/>
  <c r="AO170" i="1" s="1"/>
  <c r="X166" i="1" a="1"/>
  <c r="X166" i="1" s="1"/>
  <c r="AO166" i="1" s="1"/>
  <c r="X167" i="1" a="1"/>
  <c r="X167" i="1" s="1"/>
  <c r="AO167" i="1" s="1"/>
  <c r="X174" i="1" a="1"/>
  <c r="X174" i="1" s="1"/>
  <c r="X175" i="1" a="1"/>
  <c r="X175" i="1" s="1"/>
  <c r="X176" i="1" a="1"/>
  <c r="X176" i="1" s="1"/>
  <c r="X177" i="1" a="1"/>
  <c r="X177" i="1" s="1"/>
  <c r="X178" i="1" a="1"/>
  <c r="X178" i="1" s="1"/>
  <c r="X179" i="1" a="1"/>
  <c r="X179" i="1" s="1"/>
  <c r="X180" i="1" a="1"/>
  <c r="X180" i="1" s="1"/>
  <c r="X181" i="1" a="1"/>
  <c r="X181" i="1" s="1"/>
  <c r="X185" i="1" a="1"/>
  <c r="X185" i="1" s="1"/>
  <c r="X182" i="1" a="1"/>
  <c r="X182" i="1" s="1"/>
  <c r="X183" i="1" a="1"/>
  <c r="X183" i="1" s="1"/>
  <c r="X184" i="1" a="1"/>
  <c r="X184" i="1" s="1"/>
  <c r="X198" i="1" a="1"/>
  <c r="X198" i="1" s="1"/>
  <c r="X199" i="1" a="1"/>
  <c r="X199" i="1" s="1"/>
  <c r="X188" i="1" a="1"/>
  <c r="X188" i="1" s="1"/>
  <c r="X192" i="1" a="1"/>
  <c r="X192" i="1" s="1"/>
  <c r="X193" i="1" a="1"/>
  <c r="X193" i="1" s="1"/>
  <c r="X194" i="1" a="1"/>
  <c r="X194" i="1" s="1"/>
  <c r="X223" i="1" a="1"/>
  <c r="X223" i="1" s="1"/>
  <c r="X224" i="1" a="1"/>
  <c r="X224" i="1" s="1"/>
  <c r="X225" i="1" a="1"/>
  <c r="X225" i="1" s="1"/>
  <c r="X229" i="1" a="1"/>
  <c r="X229" i="1" s="1"/>
  <c r="X230" i="1" a="1"/>
  <c r="X230" i="1" s="1"/>
  <c r="X231" i="1" a="1"/>
  <c r="X231" i="1" s="1"/>
  <c r="X232" i="1" a="1"/>
  <c r="X232" i="1" s="1"/>
  <c r="X235" i="1" a="1"/>
  <c r="X235" i="1" s="1"/>
  <c r="X236" i="1" a="1"/>
  <c r="X236" i="1" s="1"/>
  <c r="X237" i="1" a="1"/>
  <c r="X237" i="1" s="1"/>
  <c r="X238" i="1" a="1"/>
  <c r="X238" i="1" s="1"/>
  <c r="X239" i="1" a="1"/>
  <c r="X239" i="1" s="1"/>
  <c r="X240" i="1" a="1"/>
  <c r="X240" i="1" s="1"/>
  <c r="X138" i="1" a="1"/>
  <c r="X138" i="1" s="1"/>
  <c r="AO138" i="1" s="1"/>
  <c r="X139" i="1" a="1"/>
  <c r="X139" i="1" s="1"/>
  <c r="AO139" i="1" s="1"/>
  <c r="X140" i="1" a="1"/>
  <c r="X140" i="1" s="1"/>
  <c r="AO140" i="1" s="1"/>
  <c r="X141" i="1" a="1"/>
  <c r="X141" i="1" s="1"/>
  <c r="AO141" i="1" s="1"/>
  <c r="X142" i="1" a="1"/>
  <c r="X142" i="1" s="1"/>
  <c r="AO142" i="1" s="1"/>
  <c r="X143" i="1" a="1"/>
  <c r="X143" i="1" s="1"/>
  <c r="AO143" i="1" s="1"/>
  <c r="X145" i="1" a="1"/>
  <c r="X145" i="1" s="1"/>
  <c r="AO145" i="1" s="1"/>
  <c r="X144" i="1" a="1"/>
  <c r="X144" i="1" s="1"/>
  <c r="AO144" i="1" s="1"/>
  <c r="X146" i="1" a="1"/>
  <c r="X146" i="1" s="1"/>
  <c r="AO146" i="1" s="1"/>
  <c r="X127" i="1" a="1"/>
  <c r="X127" i="1" s="1"/>
  <c r="AO127" i="1" s="1"/>
  <c r="BA127" i="1" s="1"/>
  <c r="X128" i="1" a="1"/>
  <c r="X128" i="1" s="1"/>
  <c r="X129" i="1" a="1"/>
  <c r="X129" i="1" s="1"/>
  <c r="X130" i="1" a="1"/>
  <c r="X130" i="1" s="1"/>
  <c r="X131" i="1" a="1"/>
  <c r="X131" i="1" s="1"/>
  <c r="X134" i="1" a="1"/>
  <c r="X134" i="1" s="1"/>
  <c r="AO134" i="1" s="1"/>
  <c r="X135" i="1" a="1"/>
  <c r="X135" i="1" s="1"/>
  <c r="AO135" i="1" s="1"/>
  <c r="X136" i="1" a="1"/>
  <c r="X136" i="1" s="1"/>
  <c r="AO136" i="1" s="1"/>
  <c r="X126" i="1" a="1"/>
  <c r="X126" i="1" s="1"/>
  <c r="AO126" i="1" s="1"/>
  <c r="BA126" i="1" s="1"/>
  <c r="X107" i="1" a="1"/>
  <c r="X107" i="1" s="1"/>
  <c r="X108" i="1" a="1"/>
  <c r="X108" i="1" s="1"/>
  <c r="X109" i="1" a="1"/>
  <c r="X109" i="1" s="1"/>
  <c r="X110" i="1" a="1"/>
  <c r="X110" i="1" s="1"/>
  <c r="X111" i="1" a="1"/>
  <c r="X111" i="1" s="1"/>
  <c r="X112" i="1" a="1"/>
  <c r="X112" i="1" s="1"/>
  <c r="X113" i="1" a="1"/>
  <c r="X113" i="1" s="1"/>
  <c r="X114" i="1" a="1"/>
  <c r="X114" i="1" s="1"/>
  <c r="X115" i="1" a="1"/>
  <c r="X115" i="1" s="1"/>
  <c r="X116" i="1" a="1"/>
  <c r="X116" i="1" s="1"/>
  <c r="X117" i="1" a="1"/>
  <c r="X117" i="1" s="1"/>
  <c r="X118" i="1" a="1"/>
  <c r="X118" i="1" s="1"/>
  <c r="X119" i="1" a="1"/>
  <c r="X119" i="1" s="1"/>
  <c r="X122" i="1" a="1"/>
  <c r="X122" i="1" s="1"/>
  <c r="X123" i="1" a="1"/>
  <c r="X123" i="1" s="1"/>
  <c r="AO123" i="1" s="1"/>
  <c r="X124" i="1" a="1"/>
  <c r="X124" i="1" s="1"/>
  <c r="AO124" i="1" s="1"/>
  <c r="X125" i="1" a="1"/>
  <c r="X125" i="1" s="1"/>
  <c r="AO125" i="1" s="1"/>
  <c r="BA125" i="1" s="1"/>
  <c r="X94" i="1" a="1"/>
  <c r="X94" i="1" s="1"/>
  <c r="AO94" i="1" s="1"/>
  <c r="BA94" i="1" s="1"/>
  <c r="X95" i="1" a="1"/>
  <c r="X95" i="1" s="1"/>
  <c r="AO95" i="1" s="1"/>
  <c r="BA95" i="1" s="1"/>
  <c r="X96" i="1" a="1"/>
  <c r="X96" i="1" s="1"/>
  <c r="AO96" i="1" s="1"/>
  <c r="BA96" i="1" s="1"/>
  <c r="X97" i="1" a="1"/>
  <c r="X97" i="1" s="1"/>
  <c r="AO97" i="1" s="1"/>
  <c r="BA97" i="1" s="1"/>
  <c r="X98" i="1" a="1"/>
  <c r="X98" i="1" s="1"/>
  <c r="AO98" i="1" s="1"/>
  <c r="X99" i="1" a="1"/>
  <c r="X99" i="1" s="1"/>
  <c r="X100" i="1" a="1"/>
  <c r="X100" i="1" s="1"/>
  <c r="X101" i="1" a="1"/>
  <c r="X101" i="1" s="1"/>
  <c r="X102" i="1" a="1"/>
  <c r="X102" i="1" s="1"/>
  <c r="X103" i="1" a="1"/>
  <c r="X103" i="1" s="1"/>
  <c r="X104" i="1" a="1"/>
  <c r="X104" i="1" s="1"/>
  <c r="X105" i="1" a="1"/>
  <c r="X105" i="1" s="1"/>
  <c r="X91" i="1" a="1"/>
  <c r="X91" i="1" s="1"/>
  <c r="AO91" i="1" s="1"/>
  <c r="X86" i="1" a="1"/>
  <c r="X86" i="1" s="1"/>
  <c r="AO86" i="1" s="1"/>
  <c r="X87" i="1" a="1"/>
  <c r="X87" i="1" s="1"/>
  <c r="AO87" i="1" s="1"/>
  <c r="X88" i="1" a="1"/>
  <c r="X88" i="1" s="1"/>
  <c r="AO88" i="1" s="1"/>
  <c r="X89" i="1" a="1"/>
  <c r="X89" i="1" s="1"/>
  <c r="AO89" i="1" s="1"/>
  <c r="AO92" i="1"/>
  <c r="BA92" i="1" s="1"/>
  <c r="X93" i="1" a="1"/>
  <c r="X93" i="1" s="1"/>
  <c r="AO93" i="1" s="1"/>
  <c r="BA93" i="1" s="1"/>
  <c r="X90" i="1" a="1"/>
  <c r="X90" i="1" s="1"/>
  <c r="AO90" i="1" s="1"/>
  <c r="X80" i="1" a="1"/>
  <c r="X80" i="1" s="1"/>
  <c r="AO80" i="1" s="1"/>
  <c r="X81" i="1" a="1"/>
  <c r="X81" i="1" s="1"/>
  <c r="AO81" i="1" s="1"/>
  <c r="X82" i="1" a="1"/>
  <c r="X82" i="1" s="1"/>
  <c r="AO82" i="1" s="1"/>
  <c r="X83" i="1" a="1"/>
  <c r="X83" i="1" s="1"/>
  <c r="AO83" i="1" s="1"/>
  <c r="X84" i="1" a="1"/>
  <c r="X84" i="1" s="1"/>
  <c r="AO84" i="1" s="1"/>
  <c r="X85" i="1" a="1"/>
  <c r="X85" i="1" s="1"/>
  <c r="AO85" i="1" s="1"/>
  <c r="X76" i="1" a="1"/>
  <c r="X76" i="1" s="1"/>
  <c r="AO76" i="1" s="1"/>
  <c r="X77" i="1" a="1"/>
  <c r="X77" i="1" s="1"/>
  <c r="AO77" i="1" s="1"/>
  <c r="X78" i="1" a="1"/>
  <c r="X78" i="1" s="1"/>
  <c r="AO78" i="1" s="1"/>
  <c r="X79" i="1" a="1"/>
  <c r="X79" i="1" s="1"/>
  <c r="AO79" i="1" s="1"/>
  <c r="X66" i="1" a="1"/>
  <c r="X66" i="1" s="1"/>
  <c r="X67" i="1" a="1"/>
  <c r="X67" i="1" s="1"/>
  <c r="X68" i="1" a="1"/>
  <c r="X68" i="1" s="1"/>
  <c r="X69" i="1" a="1"/>
  <c r="X69" i="1" s="1"/>
  <c r="X70" i="1" a="1"/>
  <c r="X70" i="1" s="1"/>
  <c r="X71" i="1" a="1"/>
  <c r="X71" i="1" s="1"/>
  <c r="X74" i="1" a="1"/>
  <c r="X74" i="1" s="1"/>
  <c r="AO74" i="1" s="1"/>
  <c r="X75" i="1" a="1"/>
  <c r="X75" i="1" s="1"/>
  <c r="AO75" i="1" s="1"/>
  <c r="X59" i="1" a="1"/>
  <c r="X59" i="1" s="1"/>
  <c r="X60" i="1" a="1"/>
  <c r="X60" i="1" s="1"/>
  <c r="X63" i="1" a="1"/>
  <c r="X63" i="1" s="1"/>
  <c r="X64" i="1" a="1"/>
  <c r="X64" i="1" s="1"/>
  <c r="X65" i="1" a="1"/>
  <c r="X65" i="1" s="1"/>
  <c r="X58" i="1" a="1"/>
  <c r="X58" i="1" s="1"/>
  <c r="AO58" i="1" s="1"/>
  <c r="AO62" i="1" s="1"/>
  <c r="E10" i="5"/>
  <c r="F10" i="5" s="1"/>
  <c r="E11" i="5"/>
  <c r="F11" i="5" s="1"/>
  <c r="E12" i="5"/>
  <c r="F12" i="5" s="1"/>
  <c r="E13" i="5"/>
  <c r="F13" i="5" s="1"/>
  <c r="E14" i="5"/>
  <c r="F14" i="5" s="1"/>
  <c r="E15" i="5"/>
  <c r="F15" i="5" s="1"/>
  <c r="E16" i="5"/>
  <c r="F16" i="5" s="1"/>
  <c r="E17" i="5"/>
  <c r="F17" i="5" s="1"/>
  <c r="AY12" i="1" l="1"/>
  <c r="AZ12" i="1"/>
  <c r="BA12" i="1"/>
  <c r="O4" i="8" s="1"/>
  <c r="C11" i="8"/>
  <c r="K12" i="8"/>
  <c r="K30" i="8"/>
  <c r="K36" i="8" s="1"/>
  <c r="K44" i="8" s="1"/>
  <c r="I6" i="8"/>
  <c r="I16" i="8"/>
  <c r="F12" i="8"/>
  <c r="F30" i="8"/>
  <c r="F36" i="8" s="1"/>
  <c r="F44" i="8" s="1"/>
  <c r="E27" i="8"/>
  <c r="E28" i="8" s="1"/>
  <c r="E35" i="8" s="1"/>
  <c r="E43" i="8" s="1"/>
  <c r="D6" i="8"/>
  <c r="D16" i="8"/>
  <c r="C16" i="8"/>
  <c r="K11" i="8"/>
  <c r="I13" i="8"/>
  <c r="I24" i="8"/>
  <c r="I27" i="8"/>
  <c r="H5" i="8"/>
  <c r="H26" i="8"/>
  <c r="H3" i="8"/>
  <c r="F11" i="8"/>
  <c r="D13" i="8"/>
  <c r="D24" i="8"/>
  <c r="D27" i="8"/>
  <c r="C5" i="8"/>
  <c r="C12" i="8"/>
  <c r="C24" i="8"/>
  <c r="C27" i="8"/>
  <c r="T5" i="8"/>
  <c r="T26" i="8"/>
  <c r="T3" i="8"/>
  <c r="K6" i="8"/>
  <c r="K7" i="8"/>
  <c r="K16" i="8"/>
  <c r="I17" i="8"/>
  <c r="I25" i="8"/>
  <c r="F6" i="8"/>
  <c r="F7" i="8"/>
  <c r="F16" i="8"/>
  <c r="D17" i="8"/>
  <c r="D25" i="8"/>
  <c r="C17" i="8"/>
  <c r="T21" i="8"/>
  <c r="T22" i="8" s="1"/>
  <c r="T34" i="8" s="1"/>
  <c r="T42" i="8" s="1"/>
  <c r="K13" i="8"/>
  <c r="K24" i="8"/>
  <c r="K27" i="8"/>
  <c r="H10" i="8"/>
  <c r="H12" i="8"/>
  <c r="H21" i="8"/>
  <c r="H22" i="8" s="1"/>
  <c r="H34" i="8" s="1"/>
  <c r="H42" i="8" s="1"/>
  <c r="H30" i="8"/>
  <c r="H36" i="8" s="1"/>
  <c r="H44" i="8" s="1"/>
  <c r="F13" i="8"/>
  <c r="F24" i="8"/>
  <c r="F27" i="8"/>
  <c r="C10" i="8"/>
  <c r="T10" i="8"/>
  <c r="T12" i="8"/>
  <c r="K17" i="8"/>
  <c r="K25" i="8"/>
  <c r="I5" i="8"/>
  <c r="I26" i="8"/>
  <c r="H11" i="8"/>
  <c r="F17" i="8"/>
  <c r="F25" i="8"/>
  <c r="D5" i="8"/>
  <c r="D26" i="8"/>
  <c r="C26" i="8"/>
  <c r="C3" i="8"/>
  <c r="T11" i="8"/>
  <c r="K4" i="8"/>
  <c r="H16" i="8"/>
  <c r="E12" i="8"/>
  <c r="I12" i="8"/>
  <c r="I30" i="8"/>
  <c r="I36" i="8" s="1"/>
  <c r="I44" i="8" s="1"/>
  <c r="H13" i="8"/>
  <c r="D12" i="8"/>
  <c r="D30" i="8"/>
  <c r="D36" i="8" s="1"/>
  <c r="D44" i="8" s="1"/>
  <c r="C21" i="8"/>
  <c r="C22" i="8" s="1"/>
  <c r="C34" i="8" s="1"/>
  <c r="C42" i="8" s="1"/>
  <c r="C30" i="8"/>
  <c r="C36" i="8" s="1"/>
  <c r="C44" i="8" s="1"/>
  <c r="T13" i="8"/>
  <c r="T24" i="8"/>
  <c r="E3" i="8"/>
  <c r="I11" i="8"/>
  <c r="H17" i="8"/>
  <c r="H25" i="8"/>
  <c r="D11" i="8"/>
  <c r="T17" i="8"/>
  <c r="T25" i="8"/>
  <c r="T30" i="8"/>
  <c r="T36" i="8" s="1"/>
  <c r="T44" i="8" s="1"/>
  <c r="H8" i="8"/>
  <c r="C8" i="8"/>
  <c r="T8" i="8"/>
  <c r="H6" i="8"/>
  <c r="F4" i="8"/>
  <c r="E8" i="8"/>
  <c r="T16" i="8"/>
  <c r="K5" i="8"/>
  <c r="K26" i="8"/>
  <c r="I10" i="8"/>
  <c r="I21" i="8"/>
  <c r="I22" i="8" s="1"/>
  <c r="I34" i="8" s="1"/>
  <c r="I42" i="8" s="1"/>
  <c r="F26" i="8"/>
  <c r="T27" i="8"/>
  <c r="E7" i="8"/>
  <c r="T4" i="8"/>
  <c r="K3" i="8"/>
  <c r="H27" i="8"/>
  <c r="K10" i="8"/>
  <c r="K21" i="8"/>
  <c r="K22" i="8" s="1"/>
  <c r="K34" i="8" s="1"/>
  <c r="K42" i="8" s="1"/>
  <c r="F10" i="8"/>
  <c r="F21" i="8"/>
  <c r="F22" i="8" s="1"/>
  <c r="F34" i="8" s="1"/>
  <c r="F42" i="8" s="1"/>
  <c r="F5" i="8"/>
  <c r="I15" i="8"/>
  <c r="D15" i="8"/>
  <c r="K15" i="8"/>
  <c r="F15" i="8"/>
  <c r="H15" i="8"/>
  <c r="T15" i="8"/>
  <c r="E15" i="8"/>
  <c r="H7" i="8"/>
  <c r="H24" i="8"/>
  <c r="K8" i="8"/>
  <c r="I7" i="8"/>
  <c r="H4" i="8"/>
  <c r="F8" i="8"/>
  <c r="E22" i="8"/>
  <c r="E34" i="8" s="1"/>
  <c r="E42" i="8" s="1"/>
  <c r="E36" i="8"/>
  <c r="E44" i="8" s="1"/>
  <c r="C6" i="8"/>
  <c r="C7" i="8"/>
  <c r="C4" i="8"/>
  <c r="T6" i="8"/>
  <c r="I4" i="8"/>
  <c r="D4" i="8"/>
  <c r="T7" i="8"/>
  <c r="F3" i="8"/>
  <c r="D8" i="8"/>
  <c r="D10" i="8"/>
  <c r="D21" i="8"/>
  <c r="D22" i="8" s="1"/>
  <c r="D34" i="8" s="1"/>
  <c r="D42" i="8" s="1"/>
  <c r="C25" i="8"/>
  <c r="I3" i="8"/>
  <c r="D3" i="8"/>
  <c r="D7" i="8"/>
  <c r="D14" i="8"/>
  <c r="F14" i="8"/>
  <c r="I14" i="8"/>
  <c r="K14" i="8"/>
  <c r="H14" i="8"/>
  <c r="T14" i="8"/>
  <c r="BB124" i="1"/>
  <c r="AY124" i="1"/>
  <c r="AZ124" i="1"/>
  <c r="AX124" i="1"/>
  <c r="BB123" i="1"/>
  <c r="AZ123" i="1"/>
  <c r="AX123" i="1"/>
  <c r="AY123" i="1"/>
  <c r="BH21" i="1"/>
  <c r="BH53" i="1"/>
  <c r="BH37" i="1"/>
  <c r="BE151" i="1"/>
  <c r="BB151" i="1" s="1"/>
  <c r="BE160" i="1"/>
  <c r="BB160" i="1" s="1"/>
  <c r="BE161" i="1"/>
  <c r="AX161" i="1" s="1"/>
  <c r="BE156" i="1"/>
  <c r="AX156" i="1" s="1"/>
  <c r="BE150" i="1"/>
  <c r="BB150" i="1" s="1"/>
  <c r="BE159" i="1"/>
  <c r="BB159" i="1" s="1"/>
  <c r="BE166" i="1"/>
  <c r="BB166" i="1" s="1"/>
  <c r="BE149" i="1"/>
  <c r="BE158" i="1"/>
  <c r="AX158" i="1" s="1"/>
  <c r="BE170" i="1"/>
  <c r="BB170" i="1" s="1"/>
  <c r="BE144" i="1"/>
  <c r="BE157" i="1"/>
  <c r="BB157" i="1" s="1"/>
  <c r="BE169" i="1"/>
  <c r="BB169" i="1" s="1"/>
  <c r="BE145" i="1"/>
  <c r="AX145" i="1" s="1"/>
  <c r="BE168" i="1"/>
  <c r="BB168" i="1" s="1"/>
  <c r="BE148" i="1"/>
  <c r="AX148" i="1" s="1"/>
  <c r="BE139" i="1"/>
  <c r="AX139" i="1" s="1"/>
  <c r="BE147" i="1"/>
  <c r="BB147" i="1" s="1"/>
  <c r="BE164" i="1"/>
  <c r="BB164" i="1" s="1"/>
  <c r="BE138" i="1"/>
  <c r="AX138" i="1" s="1"/>
  <c r="BE142" i="1"/>
  <c r="BB142" i="1" s="1"/>
  <c r="BE143" i="1"/>
  <c r="BB143" i="1" s="1"/>
  <c r="BE154" i="1"/>
  <c r="BB154" i="1" s="1"/>
  <c r="BE155" i="1"/>
  <c r="BB155" i="1" s="1"/>
  <c r="BE140" i="1"/>
  <c r="BB140" i="1" s="1"/>
  <c r="BE141" i="1"/>
  <c r="AX141" i="1" s="1"/>
  <c r="BE162" i="1"/>
  <c r="BB162" i="1" s="1"/>
  <c r="BE163" i="1"/>
  <c r="AX163" i="1" s="1"/>
  <c r="BE152" i="1"/>
  <c r="BB152" i="1" s="1"/>
  <c r="BE153" i="1"/>
  <c r="BB153" i="1" s="1"/>
  <c r="BE167" i="1"/>
  <c r="BB167" i="1" s="1"/>
  <c r="BE146" i="1"/>
  <c r="BB146" i="1" s="1"/>
  <c r="BE134" i="1"/>
  <c r="AX134" i="1" s="1"/>
  <c r="BE135" i="1"/>
  <c r="BB135" i="1" s="1"/>
  <c r="BE136" i="1"/>
  <c r="BC70" i="1"/>
  <c r="BA234" i="1"/>
  <c r="BA18" i="1"/>
  <c r="O5" i="8" s="1"/>
  <c r="BB94" i="1"/>
  <c r="AX94" i="1"/>
  <c r="AY94" i="1"/>
  <c r="AZ94" i="1"/>
  <c r="BB93" i="1"/>
  <c r="AY93" i="1"/>
  <c r="AX93" i="1"/>
  <c r="AZ93" i="1"/>
  <c r="AY98" i="1"/>
  <c r="AZ98" i="1"/>
  <c r="BB97" i="1"/>
  <c r="AY97" i="1"/>
  <c r="AZ97" i="1"/>
  <c r="AX97" i="1"/>
  <c r="BB96" i="1"/>
  <c r="AZ96" i="1"/>
  <c r="AX96" i="1"/>
  <c r="AY96" i="1"/>
  <c r="BB92" i="1"/>
  <c r="AZ92" i="1"/>
  <c r="AY92" i="1"/>
  <c r="AX92" i="1"/>
  <c r="BB95" i="1"/>
  <c r="AZ95" i="1"/>
  <c r="AY95" i="1"/>
  <c r="AX95" i="1"/>
  <c r="BC65" i="1"/>
  <c r="BC32" i="1"/>
  <c r="BC246" i="1"/>
  <c r="BC4" i="1"/>
  <c r="BC64" i="1"/>
  <c r="AZ228" i="1"/>
  <c r="N21" i="8" s="1"/>
  <c r="N22" i="8" s="1"/>
  <c r="N34" i="8" s="1"/>
  <c r="N42" i="8" s="1"/>
  <c r="BC183" i="1"/>
  <c r="BC117" i="1"/>
  <c r="BC255" i="1"/>
  <c r="BC56" i="1"/>
  <c r="BC68" i="1"/>
  <c r="BC69" i="1"/>
  <c r="BC19" i="1"/>
  <c r="BC175" i="1"/>
  <c r="BC122" i="1"/>
  <c r="BC10" i="1"/>
  <c r="BC188" i="1"/>
  <c r="BC198" i="1"/>
  <c r="BC230" i="1"/>
  <c r="BC24" i="1"/>
  <c r="BC67" i="1"/>
  <c r="BC114" i="1"/>
  <c r="BC6" i="1"/>
  <c r="BC13" i="1"/>
  <c r="BC109" i="1"/>
  <c r="BC128" i="1"/>
  <c r="BC178" i="1"/>
  <c r="BC193" i="1"/>
  <c r="BC236" i="1"/>
  <c r="BC254" i="1"/>
  <c r="BC118" i="1"/>
  <c r="BC182" i="1"/>
  <c r="BC232" i="1"/>
  <c r="BC245" i="1"/>
  <c r="BC100" i="1"/>
  <c r="BC111" i="1"/>
  <c r="BC130" i="1"/>
  <c r="BC180" i="1"/>
  <c r="BC223" i="1"/>
  <c r="BC238" i="1"/>
  <c r="BC256" i="1"/>
  <c r="BC60" i="1"/>
  <c r="BC101" i="1"/>
  <c r="BC112" i="1"/>
  <c r="BC181" i="1"/>
  <c r="BC224" i="1"/>
  <c r="BC239" i="1"/>
  <c r="BC260" i="1"/>
  <c r="BC249" i="1"/>
  <c r="N9" i="8"/>
  <c r="BC131" i="1"/>
  <c r="BC229" i="1"/>
  <c r="BC47" i="1"/>
  <c r="BC28" i="1"/>
  <c r="BC177" i="1"/>
  <c r="BC235" i="1"/>
  <c r="BC253" i="1"/>
  <c r="BC113" i="1"/>
  <c r="BC240" i="1"/>
  <c r="BC199" i="1"/>
  <c r="BC14" i="1"/>
  <c r="BC23" i="1"/>
  <c r="BC71" i="1"/>
  <c r="BC225" i="1"/>
  <c r="BC20" i="1"/>
  <c r="M9" i="8"/>
  <c r="BC103" i="1"/>
  <c r="BC262" i="1"/>
  <c r="BC104" i="1"/>
  <c r="BC115" i="1"/>
  <c r="BC242" i="1"/>
  <c r="BC108" i="1"/>
  <c r="BC192" i="1"/>
  <c r="BC59" i="1"/>
  <c r="BC241" i="1"/>
  <c r="BC16" i="1"/>
  <c r="O9" i="8"/>
  <c r="O12" i="8"/>
  <c r="BC5" i="1"/>
  <c r="BC49" i="1"/>
  <c r="BC57" i="1"/>
  <c r="BC185" i="1"/>
  <c r="BC231" i="1"/>
  <c r="BC263" i="1"/>
  <c r="BC99" i="1"/>
  <c r="BC110" i="1"/>
  <c r="BC129" i="1"/>
  <c r="BC179" i="1"/>
  <c r="BC194" i="1"/>
  <c r="BC237" i="1"/>
  <c r="BC66" i="1"/>
  <c r="BC119" i="1"/>
  <c r="BC184" i="1"/>
  <c r="M4" i="8"/>
  <c r="BC27" i="1"/>
  <c r="BC102" i="1"/>
  <c r="O8" i="8"/>
  <c r="BC248" i="1"/>
  <c r="BC107" i="1"/>
  <c r="BC176" i="1"/>
  <c r="BC252" i="1"/>
  <c r="N4" i="8"/>
  <c r="BA62" i="1"/>
  <c r="O11" i="8" s="1"/>
  <c r="BC105" i="1"/>
  <c r="BC116" i="1"/>
  <c r="BC174" i="1"/>
  <c r="BC22" i="1"/>
  <c r="BC15" i="1"/>
  <c r="BC261" i="1"/>
  <c r="BC48" i="1"/>
  <c r="AX73" i="1"/>
  <c r="L12" i="8" s="1"/>
  <c r="BC63" i="1"/>
  <c r="AX34" i="1"/>
  <c r="BC31" i="1"/>
  <c r="AX12" i="1"/>
  <c r="L4" i="8" s="1"/>
  <c r="BC9" i="1"/>
  <c r="AX46" i="1"/>
  <c r="BC38" i="1"/>
  <c r="BC46" i="1" s="1"/>
  <c r="AY34" i="1"/>
  <c r="AZ18" i="1"/>
  <c r="AZ55" i="1"/>
  <c r="AZ34" i="1"/>
  <c r="AY234" i="1"/>
  <c r="AZ212" i="1"/>
  <c r="AX234" i="1"/>
  <c r="AZ234" i="1"/>
  <c r="AX212" i="1"/>
  <c r="AZ259" i="1"/>
  <c r="AO133" i="1"/>
  <c r="AO172" i="1"/>
  <c r="BA259" i="1"/>
  <c r="AX18" i="1"/>
  <c r="AY212" i="1"/>
  <c r="BA55" i="1"/>
  <c r="BA244" i="1"/>
  <c r="AX259" i="1"/>
  <c r="AY259" i="1"/>
  <c r="BA26" i="1"/>
  <c r="AY18" i="1"/>
  <c r="BA187" i="1"/>
  <c r="AY251" i="1"/>
  <c r="AX8" i="1"/>
  <c r="AY228" i="1"/>
  <c r="AY265" i="1"/>
  <c r="AX55" i="1"/>
  <c r="AX244" i="1"/>
  <c r="BA251" i="1"/>
  <c r="AZ8" i="1"/>
  <c r="BA228" i="1"/>
  <c r="AZ265" i="1"/>
  <c r="AZ73" i="1"/>
  <c r="AY244" i="1"/>
  <c r="AZ251" i="1"/>
  <c r="BA8" i="1"/>
  <c r="BA265" i="1"/>
  <c r="AY55" i="1"/>
  <c r="AZ244" i="1"/>
  <c r="AZ30" i="1"/>
  <c r="AX30" i="1"/>
  <c r="BA212" i="1"/>
  <c r="AY26" i="1"/>
  <c r="AX187" i="1"/>
  <c r="AY30" i="1"/>
  <c r="AX26" i="1"/>
  <c r="BA121" i="1"/>
  <c r="BA133" i="1"/>
  <c r="AY187" i="1"/>
  <c r="BA30" i="1"/>
  <c r="AO121" i="1"/>
  <c r="AZ26" i="1"/>
  <c r="AZ187" i="1"/>
  <c r="AX251" i="1"/>
  <c r="AY8" i="1"/>
  <c r="AX228" i="1"/>
  <c r="AX265" i="1"/>
  <c r="AY73" i="1"/>
  <c r="AN65" i="1"/>
  <c r="BN65" i="1" s="1"/>
  <c r="AN32" i="1"/>
  <c r="BK32" i="1" s="1"/>
  <c r="AN15" i="1"/>
  <c r="AN245" i="1"/>
  <c r="BK245" i="1" s="1"/>
  <c r="AN100" i="1"/>
  <c r="AN180" i="1"/>
  <c r="AN60" i="1"/>
  <c r="AN67" i="1"/>
  <c r="BN67" i="1" s="1"/>
  <c r="AN177" i="1"/>
  <c r="AN13" i="1"/>
  <c r="BK13" i="1" s="1"/>
  <c r="AN194" i="1"/>
  <c r="AN99" i="1"/>
  <c r="AN246" i="1"/>
  <c r="AN242" i="1"/>
  <c r="AN28" i="1"/>
  <c r="AN183" i="1"/>
  <c r="AN4" i="1"/>
  <c r="AN199" i="1"/>
  <c r="BK199" i="1" s="1"/>
  <c r="AN57" i="1"/>
  <c r="BK57" i="1" s="1"/>
  <c r="AN114" i="1"/>
  <c r="AN184" i="1"/>
  <c r="AN176" i="1"/>
  <c r="AN69" i="1"/>
  <c r="BN69" i="1" s="1"/>
  <c r="AN117" i="1"/>
  <c r="AN182" i="1"/>
  <c r="AN112" i="1"/>
  <c r="AN224" i="1"/>
  <c r="AN64" i="1"/>
  <c r="BN64" i="1" s="1"/>
  <c r="AN254" i="1"/>
  <c r="AN179" i="1"/>
  <c r="AN66" i="1"/>
  <c r="BN66" i="1" s="1"/>
  <c r="AN107" i="1"/>
  <c r="AN6" i="1"/>
  <c r="AN71" i="1"/>
  <c r="BN71" i="1" s="1"/>
  <c r="AN111" i="1"/>
  <c r="AN261" i="1"/>
  <c r="BK261" i="1" s="1"/>
  <c r="AN103" i="1"/>
  <c r="AN56" i="1"/>
  <c r="BK56" i="1" s="1"/>
  <c r="AN235" i="1"/>
  <c r="BK235" i="1" s="1"/>
  <c r="AN253" i="1"/>
  <c r="BK253" i="1" s="1"/>
  <c r="AN178" i="1"/>
  <c r="BK178" i="1" s="1"/>
  <c r="AN223" i="1"/>
  <c r="BK223" i="1" s="1"/>
  <c r="AN24" i="1"/>
  <c r="AN240" i="1"/>
  <c r="AN252" i="1"/>
  <c r="AN9" i="1"/>
  <c r="BK9" i="1" s="1"/>
  <c r="AN192" i="1"/>
  <c r="BK192" i="1" s="1"/>
  <c r="AN122" i="1"/>
  <c r="BK122" i="1" s="1"/>
  <c r="AN231" i="1"/>
  <c r="BK231" i="1" s="1"/>
  <c r="AN225" i="1"/>
  <c r="AN5" i="1"/>
  <c r="AN115" i="1"/>
  <c r="AN188" i="1"/>
  <c r="BK188" i="1" s="1"/>
  <c r="AN131" i="1"/>
  <c r="AN263" i="1"/>
  <c r="AN239" i="1"/>
  <c r="BK239" i="1" s="1"/>
  <c r="AN48" i="1"/>
  <c r="BK48" i="1" s="1"/>
  <c r="AN105" i="1"/>
  <c r="BK105" i="1" s="1"/>
  <c r="AN110" i="1"/>
  <c r="AN102" i="1"/>
  <c r="BK102" i="1" s="1"/>
  <c r="AN249" i="1"/>
  <c r="BB78" i="1"/>
  <c r="AY78" i="1"/>
  <c r="AZ78" i="1"/>
  <c r="AX78" i="1"/>
  <c r="BB88" i="1"/>
  <c r="AZ88" i="1"/>
  <c r="AY88" i="1"/>
  <c r="AX88" i="1"/>
  <c r="AZ141" i="1"/>
  <c r="AY141" i="1"/>
  <c r="AZ138" i="1"/>
  <c r="AY138" i="1"/>
  <c r="AZ163" i="1"/>
  <c r="AY163" i="1"/>
  <c r="AZ155" i="1"/>
  <c r="AY155" i="1"/>
  <c r="AZ147" i="1"/>
  <c r="AY147" i="1"/>
  <c r="BB75" i="1"/>
  <c r="AY75" i="1"/>
  <c r="AZ75" i="1"/>
  <c r="AX75" i="1"/>
  <c r="BB76" i="1"/>
  <c r="AZ76" i="1"/>
  <c r="AY76" i="1"/>
  <c r="AX76" i="1"/>
  <c r="BB58" i="1"/>
  <c r="BB62" i="1" s="1"/>
  <c r="AY58" i="1"/>
  <c r="AY62" i="1" s="1"/>
  <c r="AZ58" i="1"/>
  <c r="AZ62" i="1" s="1"/>
  <c r="AX58" i="1"/>
  <c r="BB87" i="1"/>
  <c r="AZ87" i="1"/>
  <c r="AY87" i="1"/>
  <c r="AX87" i="1"/>
  <c r="AY140" i="1"/>
  <c r="AZ140" i="1"/>
  <c r="AZ167" i="1"/>
  <c r="AY167" i="1"/>
  <c r="AZ162" i="1"/>
  <c r="AY162" i="1"/>
  <c r="AX162" i="1"/>
  <c r="AZ154" i="1"/>
  <c r="AY154" i="1"/>
  <c r="BB77" i="1"/>
  <c r="AZ77" i="1"/>
  <c r="AY77" i="1"/>
  <c r="AX77" i="1"/>
  <c r="BB84" i="1"/>
  <c r="AZ84" i="1"/>
  <c r="AY84" i="1"/>
  <c r="AX84" i="1"/>
  <c r="BB90" i="1"/>
  <c r="AZ90" i="1"/>
  <c r="AY90" i="1"/>
  <c r="AX90" i="1"/>
  <c r="AY166" i="1"/>
  <c r="AZ166" i="1"/>
  <c r="AZ161" i="1"/>
  <c r="AY161" i="1"/>
  <c r="AY153" i="1"/>
  <c r="AZ153" i="1"/>
  <c r="BB85" i="1"/>
  <c r="AZ85" i="1"/>
  <c r="AY85" i="1"/>
  <c r="AX85" i="1"/>
  <c r="BB83" i="1"/>
  <c r="AZ83" i="1"/>
  <c r="AX83" i="1"/>
  <c r="AY83" i="1"/>
  <c r="AZ146" i="1"/>
  <c r="AY146" i="1"/>
  <c r="AZ160" i="1"/>
  <c r="AY160" i="1"/>
  <c r="AZ152" i="1"/>
  <c r="AY152" i="1"/>
  <c r="AN198" i="1"/>
  <c r="BK198" i="1" s="1"/>
  <c r="AN68" i="1"/>
  <c r="BN68" i="1" s="1"/>
  <c r="AN241" i="1"/>
  <c r="BK241" i="1" s="1"/>
  <c r="BB74" i="1"/>
  <c r="AY74" i="1"/>
  <c r="AZ74" i="1"/>
  <c r="AX74" i="1"/>
  <c r="AZ82" i="1"/>
  <c r="BB82" i="1"/>
  <c r="AY82" i="1"/>
  <c r="AX82" i="1"/>
  <c r="BB127" i="1"/>
  <c r="AZ127" i="1"/>
  <c r="AY127" i="1"/>
  <c r="AX127" i="1"/>
  <c r="AZ144" i="1"/>
  <c r="BB144" i="1"/>
  <c r="AY144" i="1"/>
  <c r="AX144" i="1"/>
  <c r="AZ170" i="1"/>
  <c r="AY170" i="1"/>
  <c r="AX170" i="1"/>
  <c r="AZ159" i="1"/>
  <c r="AY159" i="1"/>
  <c r="AZ151" i="1"/>
  <c r="AY151" i="1"/>
  <c r="AN104" i="1"/>
  <c r="BK104" i="1" s="1"/>
  <c r="AN47" i="1"/>
  <c r="BK47" i="1" s="1"/>
  <c r="AN116" i="1"/>
  <c r="BK116" i="1" s="1"/>
  <c r="AN230" i="1"/>
  <c r="BK230" i="1" s="1"/>
  <c r="AN109" i="1"/>
  <c r="BK109" i="1" s="1"/>
  <c r="AN193" i="1"/>
  <c r="BK193" i="1" s="1"/>
  <c r="AN174" i="1"/>
  <c r="BK174" i="1" s="1"/>
  <c r="AN22" i="1"/>
  <c r="BK22" i="1" s="1"/>
  <c r="AN129" i="1"/>
  <c r="BK129" i="1" s="1"/>
  <c r="AN237" i="1"/>
  <c r="BK237" i="1" s="1"/>
  <c r="AN23" i="1"/>
  <c r="BK23" i="1" s="1"/>
  <c r="AN130" i="1"/>
  <c r="BK130" i="1" s="1"/>
  <c r="AN238" i="1"/>
  <c r="BK238" i="1" s="1"/>
  <c r="AN260" i="1"/>
  <c r="BK260" i="1" s="1"/>
  <c r="BB81" i="1"/>
  <c r="AZ81" i="1"/>
  <c r="AY81" i="1"/>
  <c r="AX81" i="1"/>
  <c r="AZ126" i="1"/>
  <c r="BB126" i="1"/>
  <c r="AY126" i="1"/>
  <c r="AX126" i="1"/>
  <c r="AZ136" i="1"/>
  <c r="BB136" i="1"/>
  <c r="AY136" i="1"/>
  <c r="AX136" i="1"/>
  <c r="AZ145" i="1"/>
  <c r="AY145" i="1"/>
  <c r="AY169" i="1"/>
  <c r="AZ169" i="1"/>
  <c r="AY158" i="1"/>
  <c r="AZ158" i="1"/>
  <c r="AY150" i="1"/>
  <c r="AZ150" i="1"/>
  <c r="AN175" i="1"/>
  <c r="BK175" i="1" s="1"/>
  <c r="AN59" i="1"/>
  <c r="BK59" i="1" s="1"/>
  <c r="AN16" i="1"/>
  <c r="BK16" i="1" s="1"/>
  <c r="BB80" i="1"/>
  <c r="AZ80" i="1"/>
  <c r="AY80" i="1"/>
  <c r="AX80" i="1"/>
  <c r="AY86" i="1"/>
  <c r="BB86" i="1"/>
  <c r="AX86" i="1"/>
  <c r="AZ86" i="1"/>
  <c r="AY135" i="1"/>
  <c r="AZ135" i="1"/>
  <c r="AZ143" i="1"/>
  <c r="AY143" i="1"/>
  <c r="AY168" i="1"/>
  <c r="AZ168" i="1"/>
  <c r="AY157" i="1"/>
  <c r="AZ157" i="1"/>
  <c r="BB149" i="1"/>
  <c r="AY149" i="1"/>
  <c r="AX149" i="1"/>
  <c r="AZ149" i="1"/>
  <c r="AN229" i="1"/>
  <c r="BK229" i="1" s="1"/>
  <c r="AN10" i="1"/>
  <c r="BK10" i="1" s="1"/>
  <c r="AN128" i="1"/>
  <c r="BK128" i="1" s="1"/>
  <c r="AN236" i="1"/>
  <c r="BK236" i="1" s="1"/>
  <c r="AN70" i="1"/>
  <c r="BN70" i="1" s="1"/>
  <c r="AN255" i="1"/>
  <c r="BK255" i="1" s="1"/>
  <c r="AN31" i="1"/>
  <c r="BK31" i="1" s="1"/>
  <c r="AN256" i="1"/>
  <c r="BK256" i="1" s="1"/>
  <c r="AN101" i="1"/>
  <c r="BK101" i="1" s="1"/>
  <c r="AN181" i="1"/>
  <c r="BK181" i="1" s="1"/>
  <c r="AN63" i="1"/>
  <c r="BK63" i="1" s="1"/>
  <c r="BK73" i="1" s="1"/>
  <c r="BB79" i="1"/>
  <c r="AY79" i="1"/>
  <c r="AZ79" i="1"/>
  <c r="AX79" i="1"/>
  <c r="BB89" i="1"/>
  <c r="AZ89" i="1"/>
  <c r="AX89" i="1"/>
  <c r="AY89" i="1"/>
  <c r="BB91" i="1"/>
  <c r="AZ91" i="1"/>
  <c r="AY91" i="1"/>
  <c r="AX91" i="1"/>
  <c r="BB125" i="1"/>
  <c r="AY125" i="1"/>
  <c r="AZ125" i="1"/>
  <c r="AX125" i="1"/>
  <c r="AY134" i="1"/>
  <c r="AZ134" i="1"/>
  <c r="AZ142" i="1"/>
  <c r="AY142" i="1"/>
  <c r="BB139" i="1"/>
  <c r="AZ139" i="1"/>
  <c r="AY139" i="1"/>
  <c r="AZ164" i="1"/>
  <c r="AY164" i="1"/>
  <c r="AZ156" i="1"/>
  <c r="AY156" i="1"/>
  <c r="BB148" i="1"/>
  <c r="AZ148" i="1"/>
  <c r="AY148" i="1"/>
  <c r="AN49" i="1"/>
  <c r="BK49" i="1" s="1"/>
  <c r="AN19" i="1"/>
  <c r="BK19" i="1" s="1"/>
  <c r="AN108" i="1"/>
  <c r="BK108" i="1" s="1"/>
  <c r="AN185" i="1"/>
  <c r="BK185" i="1" s="1"/>
  <c r="AN113" i="1"/>
  <c r="BK113" i="1" s="1"/>
  <c r="AN14" i="1"/>
  <c r="BK14" i="1" s="1"/>
  <c r="AN118" i="1"/>
  <c r="BK118" i="1" s="1"/>
  <c r="AN232" i="1"/>
  <c r="BK232" i="1" s="1"/>
  <c r="AN27" i="1"/>
  <c r="AN119" i="1"/>
  <c r="BK119" i="1" s="1"/>
  <c r="AN20" i="1"/>
  <c r="BK20" i="1" s="1"/>
  <c r="AN38" i="1"/>
  <c r="AN248" i="1"/>
  <c r="BK248" i="1" s="1"/>
  <c r="AN262" i="1"/>
  <c r="BK262" i="1" s="1"/>
  <c r="BH152" i="1"/>
  <c r="BH145" i="1"/>
  <c r="BH167" i="1"/>
  <c r="BH23" i="1"/>
  <c r="BH148" i="1"/>
  <c r="BH116" i="1"/>
  <c r="BH157" i="1"/>
  <c r="BH188" i="1"/>
  <c r="BH229" i="1"/>
  <c r="BH47" i="1"/>
  <c r="BH81" i="1"/>
  <c r="BH125" i="1"/>
  <c r="BH140" i="1"/>
  <c r="BH150" i="1"/>
  <c r="BH118" i="1"/>
  <c r="BH49" i="1"/>
  <c r="BH111" i="1"/>
  <c r="BH139" i="1"/>
  <c r="BH142" i="1"/>
  <c r="BH160" i="1"/>
  <c r="BH143" i="1"/>
  <c r="BH246" i="1"/>
  <c r="BH239" i="1"/>
  <c r="BH103" i="1"/>
  <c r="BH74" i="1"/>
  <c r="BH89" i="1"/>
  <c r="BH135" i="1"/>
  <c r="BH235" i="1"/>
  <c r="BH138" i="1"/>
  <c r="BH231" i="1"/>
  <c r="BH127" i="1"/>
  <c r="BH245" i="1"/>
  <c r="BH161" i="1"/>
  <c r="BH223" i="1"/>
  <c r="BH57" i="1"/>
  <c r="BH122" i="1"/>
  <c r="BH149" i="1"/>
  <c r="BH192" i="1"/>
  <c r="BH56" i="1"/>
  <c r="BH153" i="1"/>
  <c r="BH163" i="1"/>
  <c r="BH80" i="1"/>
  <c r="BH75" i="1"/>
  <c r="BH24" i="1"/>
  <c r="BH151" i="1"/>
  <c r="BH193" i="1"/>
  <c r="BH83" i="1"/>
  <c r="BH87" i="1"/>
  <c r="BH102" i="1"/>
  <c r="BH95" i="1"/>
  <c r="AA82" i="1"/>
  <c r="BP4" i="1"/>
  <c r="BP5" i="1"/>
  <c r="BP10" i="1"/>
  <c r="BP9" i="1"/>
  <c r="BP15" i="1"/>
  <c r="BP14" i="1"/>
  <c r="BP16" i="1"/>
  <c r="BP19" i="1"/>
  <c r="BP20" i="1"/>
  <c r="BP22" i="1"/>
  <c r="BP23" i="1"/>
  <c r="BP24" i="1"/>
  <c r="BP27" i="1"/>
  <c r="BP28" i="1"/>
  <c r="BP32" i="1"/>
  <c r="BP31" i="1"/>
  <c r="BP37" i="1"/>
  <c r="BP38" i="1"/>
  <c r="BP39" i="1"/>
  <c r="BP53" i="1"/>
  <c r="BP49" i="1"/>
  <c r="BP47" i="1"/>
  <c r="BP48" i="1"/>
  <c r="BP52" i="1"/>
  <c r="BP60" i="1"/>
  <c r="BP59" i="1"/>
  <c r="BP58" i="1"/>
  <c r="BP57" i="1"/>
  <c r="BP56" i="1"/>
  <c r="BP63" i="1"/>
  <c r="BP64" i="1"/>
  <c r="BP65" i="1"/>
  <c r="BP66" i="1"/>
  <c r="BP67" i="1"/>
  <c r="BP68" i="1"/>
  <c r="BP69" i="1"/>
  <c r="BP70" i="1"/>
  <c r="BP71" i="1"/>
  <c r="BP101" i="1"/>
  <c r="BP116" i="1"/>
  <c r="BP107" i="1"/>
  <c r="BP102" i="1"/>
  <c r="BP84" i="1"/>
  <c r="BP96" i="1"/>
  <c r="BP119" i="1"/>
  <c r="BP114" i="1"/>
  <c r="BP118" i="1"/>
  <c r="BP111" i="1"/>
  <c r="BP115" i="1"/>
  <c r="BP97" i="1"/>
  <c r="BP80" i="1"/>
  <c r="BP117" i="1"/>
  <c r="BP77" i="1"/>
  <c r="BP78" i="1"/>
  <c r="BP79" i="1"/>
  <c r="BP95" i="1"/>
  <c r="BP88" i="1"/>
  <c r="BP94" i="1"/>
  <c r="BP90" i="1"/>
  <c r="BP113" i="1"/>
  <c r="BP89" i="1"/>
  <c r="BP83" i="1"/>
  <c r="BP99" i="1"/>
  <c r="BP104" i="1"/>
  <c r="BP93" i="1"/>
  <c r="BP105" i="1"/>
  <c r="BP109" i="1"/>
  <c r="BP103" i="1"/>
  <c r="BP92" i="1"/>
  <c r="BP100" i="1"/>
  <c r="BP112" i="1"/>
  <c r="BP110" i="1"/>
  <c r="BP85" i="1"/>
  <c r="BP75" i="1"/>
  <c r="BP108" i="1"/>
  <c r="BP74" i="1"/>
  <c r="BP91" i="1"/>
  <c r="BP76" i="1"/>
  <c r="BP86" i="1"/>
  <c r="BP81" i="1"/>
  <c r="BP98" i="1"/>
  <c r="BP87" i="1"/>
  <c r="BP82" i="1"/>
  <c r="BP128" i="1"/>
  <c r="BP129" i="1"/>
  <c r="BP124" i="1"/>
  <c r="BP127" i="1"/>
  <c r="BP131" i="1"/>
  <c r="BP123" i="1"/>
  <c r="BP130" i="1"/>
  <c r="BP125" i="1"/>
  <c r="BP126" i="1"/>
  <c r="BP122" i="1"/>
  <c r="BP169" i="1"/>
  <c r="BP153" i="1"/>
  <c r="BP135" i="1"/>
  <c r="BP170" i="1"/>
  <c r="BP136" i="1"/>
  <c r="BP147" i="1"/>
  <c r="BP140" i="1"/>
  <c r="BP168" i="1"/>
  <c r="BP148" i="1"/>
  <c r="BP150" i="1"/>
  <c r="BP152" i="1"/>
  <c r="BP151" i="1"/>
  <c r="BP146" i="1"/>
  <c r="BP154" i="1"/>
  <c r="BP149" i="1"/>
  <c r="BP145" i="1"/>
  <c r="BP134" i="1"/>
  <c r="BP167" i="1"/>
  <c r="BP155" i="1"/>
  <c r="BP156" i="1"/>
  <c r="BP157" i="1"/>
  <c r="BP158" i="1"/>
  <c r="BP159" i="1"/>
  <c r="BP160" i="1"/>
  <c r="BP141" i="1"/>
  <c r="BP144" i="1"/>
  <c r="BP161" i="1"/>
  <c r="BP162" i="1"/>
  <c r="BP163" i="1"/>
  <c r="BP166" i="1"/>
  <c r="BP164" i="1"/>
  <c r="BP143" i="1"/>
  <c r="BP138" i="1"/>
  <c r="BP139" i="1"/>
  <c r="BP142" i="1"/>
  <c r="BP185" i="1"/>
  <c r="BP181" i="1"/>
  <c r="BP174" i="1"/>
  <c r="BP180" i="1"/>
  <c r="BP179" i="1"/>
  <c r="BP178" i="1"/>
  <c r="BP175" i="1"/>
  <c r="BP182" i="1"/>
  <c r="BP177" i="1"/>
  <c r="BP176" i="1"/>
  <c r="BP183" i="1"/>
  <c r="BP184" i="1"/>
  <c r="BP199" i="1"/>
  <c r="BP192" i="1"/>
  <c r="BP188" i="1"/>
  <c r="BP198" i="1"/>
  <c r="BP194" i="1"/>
  <c r="BP193" i="1"/>
  <c r="BP225" i="1"/>
  <c r="BP224" i="1"/>
  <c r="BP223" i="1"/>
  <c r="BP231" i="1"/>
  <c r="BP232" i="1"/>
  <c r="BP230" i="1"/>
  <c r="BP229" i="1"/>
  <c r="BP237" i="1"/>
  <c r="BP239" i="1"/>
  <c r="BP235" i="1"/>
  <c r="BP240" i="1"/>
  <c r="BP236" i="1"/>
  <c r="BP242" i="1"/>
  <c r="BP241" i="1"/>
  <c r="BP238" i="1"/>
  <c r="BP245" i="1"/>
  <c r="BP248" i="1"/>
  <c r="BP246" i="1"/>
  <c r="BP249" i="1"/>
  <c r="BP253" i="1"/>
  <c r="BP256" i="1"/>
  <c r="BP254" i="1"/>
  <c r="BP255" i="1"/>
  <c r="BP252" i="1"/>
  <c r="BP263" i="1"/>
  <c r="BP262" i="1"/>
  <c r="BP261" i="1"/>
  <c r="BP260" i="1"/>
  <c r="BP6" i="1"/>
  <c r="C15" i="6"/>
  <c r="C14" i="6"/>
  <c r="C13" i="6"/>
  <c r="C10" i="6"/>
  <c r="B10" i="6"/>
  <c r="C9" i="6"/>
  <c r="C7" i="6"/>
  <c r="C6" i="6"/>
  <c r="B3" i="6"/>
  <c r="B2" i="6"/>
  <c r="B4" i="6" s="1"/>
  <c r="E19" i="5"/>
  <c r="F19" i="5" s="1"/>
  <c r="E18" i="5"/>
  <c r="F18" i="5" s="1"/>
  <c r="M9" i="5"/>
  <c r="N9" i="5" s="1"/>
  <c r="E9" i="5"/>
  <c r="F9" i="5" s="1"/>
  <c r="M8" i="5"/>
  <c r="N8" i="5" s="1"/>
  <c r="E8" i="5"/>
  <c r="F8" i="5" s="1"/>
  <c r="M7" i="5"/>
  <c r="N7" i="5" s="1"/>
  <c r="E7" i="5"/>
  <c r="F7" i="5" s="1"/>
  <c r="S6" i="5"/>
  <c r="BJ8" i="1" s="1"/>
  <c r="M6" i="5"/>
  <c r="N6" i="5" s="1"/>
  <c r="E6" i="5"/>
  <c r="F6" i="5" s="1"/>
  <c r="BH247" i="1" s="1"/>
  <c r="R5" i="5"/>
  <c r="S5" i="5" s="1"/>
  <c r="M5" i="5"/>
  <c r="N5" i="5" s="1"/>
  <c r="E5" i="5"/>
  <c r="F5" i="5" s="1"/>
  <c r="R4" i="5"/>
  <c r="S4" i="5" s="1"/>
  <c r="M4" i="5"/>
  <c r="N4" i="5" s="1"/>
  <c r="E4" i="5"/>
  <c r="F4" i="5" s="1"/>
  <c r="R3" i="5"/>
  <c r="S3" i="5" s="1"/>
  <c r="M3" i="5"/>
  <c r="N3" i="5" s="1"/>
  <c r="E3" i="5"/>
  <c r="F3" i="5" s="1"/>
  <c r="S2" i="5"/>
  <c r="M2" i="5"/>
  <c r="N2" i="5" s="1"/>
  <c r="E2" i="5"/>
  <c r="F2" i="5" s="1"/>
  <c r="D17" i="3"/>
  <c r="E17" i="3" s="1"/>
  <c r="E16" i="3"/>
  <c r="D16" i="3"/>
  <c r="D15" i="3"/>
  <c r="E15" i="3" s="1"/>
  <c r="AA72" i="1" s="1"/>
  <c r="BL72" i="1" s="1"/>
  <c r="BR72" i="1" s="1"/>
  <c r="E14" i="3"/>
  <c r="AA21" i="1" s="1"/>
  <c r="BL21" i="1" s="1"/>
  <c r="D14" i="3"/>
  <c r="C13" i="3"/>
  <c r="D13" i="3" s="1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AA96" i="1" s="1"/>
  <c r="D6" i="3"/>
  <c r="E6" i="3" s="1"/>
  <c r="AA124" i="1" s="1"/>
  <c r="D5" i="3"/>
  <c r="E5" i="3" s="1"/>
  <c r="D4" i="3"/>
  <c r="E4" i="3" s="1"/>
  <c r="AA242" i="1" s="1"/>
  <c r="D3" i="3"/>
  <c r="E3" i="3" s="1"/>
  <c r="AA37" i="1" s="1"/>
  <c r="BL37" i="1" s="1"/>
  <c r="AX168" i="1" l="1"/>
  <c r="AX157" i="1"/>
  <c r="BB163" i="1"/>
  <c r="BC163" i="1" s="1"/>
  <c r="AX142" i="1"/>
  <c r="BC142" i="1" s="1"/>
  <c r="AX143" i="1"/>
  <c r="BC143" i="1" s="1"/>
  <c r="E19" i="8"/>
  <c r="E33" i="8" s="1"/>
  <c r="E41" i="8" s="1"/>
  <c r="E45" i="8" s="1"/>
  <c r="H28" i="8"/>
  <c r="H35" i="8" s="1"/>
  <c r="H43" i="8" s="1"/>
  <c r="AX146" i="1"/>
  <c r="BC146" i="1" s="1"/>
  <c r="AX147" i="1"/>
  <c r="BC147" i="1" s="1"/>
  <c r="BR21" i="1"/>
  <c r="AX159" i="1"/>
  <c r="BC159" i="1" s="1"/>
  <c r="AX154" i="1"/>
  <c r="BC154" i="1" s="1"/>
  <c r="BB141" i="1"/>
  <c r="BC141" i="1" s="1"/>
  <c r="I28" i="8"/>
  <c r="I35" i="8" s="1"/>
  <c r="I43" i="8" s="1"/>
  <c r="AX164" i="1"/>
  <c r="BC164" i="1" s="1"/>
  <c r="C28" i="8"/>
  <c r="C35" i="8" s="1"/>
  <c r="C43" i="8" s="1"/>
  <c r="D28" i="8"/>
  <c r="D35" i="8" s="1"/>
  <c r="D43" i="8" s="1"/>
  <c r="K19" i="8"/>
  <c r="K33" i="8" s="1"/>
  <c r="K41" i="8" s="1"/>
  <c r="T19" i="8"/>
  <c r="T33" i="8" s="1"/>
  <c r="T41" i="8" s="1"/>
  <c r="F28" i="8"/>
  <c r="F35" i="8" s="1"/>
  <c r="F43" i="8" s="1"/>
  <c r="K28" i="8"/>
  <c r="K35" i="8" s="1"/>
  <c r="K43" i="8" s="1"/>
  <c r="T28" i="8"/>
  <c r="T35" i="8" s="1"/>
  <c r="T43" i="8" s="1"/>
  <c r="T45" i="8" s="1"/>
  <c r="D19" i="8"/>
  <c r="D33" i="8" s="1"/>
  <c r="D41" i="8" s="1"/>
  <c r="F19" i="8"/>
  <c r="F33" i="8" s="1"/>
  <c r="F41" i="8" s="1"/>
  <c r="I19" i="8"/>
  <c r="I33" i="8" s="1"/>
  <c r="I41" i="8" s="1"/>
  <c r="H19" i="8"/>
  <c r="H33" i="8" s="1"/>
  <c r="H41" i="8" s="1"/>
  <c r="AN124" i="1"/>
  <c r="BO124" i="1" s="1"/>
  <c r="X3" i="8"/>
  <c r="X19" i="8" s="1"/>
  <c r="X33" i="8" s="1"/>
  <c r="X41" i="8" s="1"/>
  <c r="C13" i="8"/>
  <c r="C15" i="8"/>
  <c r="BC124" i="1"/>
  <c r="C14" i="8"/>
  <c r="BC123" i="1"/>
  <c r="AN123" i="1"/>
  <c r="BK123" i="1" s="1"/>
  <c r="BB134" i="1"/>
  <c r="BC134" i="1" s="1"/>
  <c r="AX166" i="1"/>
  <c r="AN166" i="1" s="1"/>
  <c r="AX140" i="1"/>
  <c r="BC140" i="1" s="1"/>
  <c r="AX169" i="1"/>
  <c r="BC169" i="1" s="1"/>
  <c r="AX151" i="1"/>
  <c r="BC151" i="1" s="1"/>
  <c r="AX160" i="1"/>
  <c r="BC160" i="1" s="1"/>
  <c r="AX155" i="1"/>
  <c r="BC155" i="1" s="1"/>
  <c r="BE171" i="1"/>
  <c r="BK171" i="1" s="1"/>
  <c r="BH50" i="1"/>
  <c r="BH165" i="1"/>
  <c r="BH137" i="1"/>
  <c r="BR137" i="1" s="1"/>
  <c r="BH106" i="1"/>
  <c r="BH190" i="1"/>
  <c r="BH189" i="1"/>
  <c r="BH44" i="1"/>
  <c r="BH191" i="1"/>
  <c r="BH43" i="1"/>
  <c r="BH41" i="1"/>
  <c r="BH35" i="1"/>
  <c r="BH40" i="1"/>
  <c r="BH36" i="1"/>
  <c r="BH39" i="1"/>
  <c r="BH42" i="1"/>
  <c r="BH32" i="1"/>
  <c r="BH168" i="1"/>
  <c r="BH105" i="1"/>
  <c r="BB156" i="1"/>
  <c r="BC156" i="1" s="1"/>
  <c r="BB161" i="1"/>
  <c r="AN161" i="1" s="1"/>
  <c r="BB158" i="1"/>
  <c r="BC158" i="1" s="1"/>
  <c r="BB145" i="1"/>
  <c r="BC145" i="1" s="1"/>
  <c r="AX153" i="1"/>
  <c r="BC153" i="1" s="1"/>
  <c r="AX152" i="1"/>
  <c r="BC152" i="1" s="1"/>
  <c r="O24" i="8"/>
  <c r="AN98" i="1"/>
  <c r="BK98" i="1" s="1"/>
  <c r="BB138" i="1"/>
  <c r="BC138" i="1" s="1"/>
  <c r="AX167" i="1"/>
  <c r="BC167" i="1" s="1"/>
  <c r="AN95" i="1"/>
  <c r="BK95" i="1" s="1"/>
  <c r="BK252" i="1"/>
  <c r="BN252" i="1"/>
  <c r="AX150" i="1"/>
  <c r="BC150" i="1" s="1"/>
  <c r="AX135" i="1"/>
  <c r="BC135" i="1" s="1"/>
  <c r="AA164" i="1"/>
  <c r="AA141" i="1"/>
  <c r="AA56" i="1"/>
  <c r="BL56" i="1" s="1"/>
  <c r="AA156" i="1"/>
  <c r="AA39" i="1"/>
  <c r="BL39" i="1" s="1"/>
  <c r="AA151" i="1"/>
  <c r="AA5" i="1"/>
  <c r="BL5" i="1" s="1"/>
  <c r="AA106" i="1"/>
  <c r="BL106" i="1" s="1"/>
  <c r="AA192" i="1"/>
  <c r="BL192" i="1" s="1"/>
  <c r="AA147" i="1"/>
  <c r="AA78" i="1"/>
  <c r="AA80" i="1"/>
  <c r="AN96" i="1"/>
  <c r="BK96" i="1" s="1"/>
  <c r="L8" i="8"/>
  <c r="AN97" i="1"/>
  <c r="BK97" i="1" s="1"/>
  <c r="BC96" i="1"/>
  <c r="BC95" i="1"/>
  <c r="BC97" i="1"/>
  <c r="BC93" i="1"/>
  <c r="BC94" i="1"/>
  <c r="BC98" i="1"/>
  <c r="AN94" i="1"/>
  <c r="BK94" i="1" s="1"/>
  <c r="AN93" i="1"/>
  <c r="BO93" i="1" s="1"/>
  <c r="AN92" i="1"/>
  <c r="BK92" i="1" s="1"/>
  <c r="BC92" i="1"/>
  <c r="BC80" i="1"/>
  <c r="BC157" i="1"/>
  <c r="BC170" i="1"/>
  <c r="BC126" i="1"/>
  <c r="BC148" i="1"/>
  <c r="BC91" i="1"/>
  <c r="BC139" i="1"/>
  <c r="BC136" i="1"/>
  <c r="BC30" i="1"/>
  <c r="BC162" i="1"/>
  <c r="BC87" i="1"/>
  <c r="BC78" i="1"/>
  <c r="BC149" i="1"/>
  <c r="BC74" i="1"/>
  <c r="N6" i="8"/>
  <c r="M25" i="8"/>
  <c r="O26" i="8"/>
  <c r="L9" i="8"/>
  <c r="M10" i="8"/>
  <c r="M26" i="8"/>
  <c r="O25" i="8"/>
  <c r="M24" i="8"/>
  <c r="BC84" i="1"/>
  <c r="BC77" i="1"/>
  <c r="BC76" i="1"/>
  <c r="BC88" i="1"/>
  <c r="M7" i="8"/>
  <c r="O30" i="8"/>
  <c r="O36" i="8" s="1"/>
  <c r="O44" i="8" s="1"/>
  <c r="N12" i="8"/>
  <c r="O16" i="8"/>
  <c r="N8" i="8"/>
  <c r="M3" i="8"/>
  <c r="O7" i="8"/>
  <c r="N30" i="8"/>
  <c r="N36" i="8" s="1"/>
  <c r="N44" i="8" s="1"/>
  <c r="O10" i="8"/>
  <c r="N10" i="8"/>
  <c r="BC86" i="1"/>
  <c r="BC144" i="1"/>
  <c r="BC127" i="1"/>
  <c r="BC82" i="1"/>
  <c r="BC83" i="1"/>
  <c r="M16" i="8"/>
  <c r="M5" i="8"/>
  <c r="BC125" i="1"/>
  <c r="BC79" i="1"/>
  <c r="BC81" i="1"/>
  <c r="M6" i="8"/>
  <c r="N7" i="8"/>
  <c r="O3" i="8"/>
  <c r="M30" i="8"/>
  <c r="M36" i="8" s="1"/>
  <c r="M44" i="8" s="1"/>
  <c r="O6" i="8"/>
  <c r="M17" i="8"/>
  <c r="N5" i="8"/>
  <c r="BC89" i="1"/>
  <c r="BC90" i="1"/>
  <c r="BC75" i="1"/>
  <c r="N16" i="8"/>
  <c r="O14" i="8"/>
  <c r="O17" i="8"/>
  <c r="N26" i="8"/>
  <c r="O21" i="8"/>
  <c r="O22" i="8" s="1"/>
  <c r="O34" i="8" s="1"/>
  <c r="O42" i="8" s="1"/>
  <c r="M27" i="8"/>
  <c r="N27" i="8"/>
  <c r="N24" i="8"/>
  <c r="M8" i="8"/>
  <c r="BC168" i="1"/>
  <c r="BC85" i="1"/>
  <c r="M12" i="8"/>
  <c r="O13" i="8"/>
  <c r="N25" i="8"/>
  <c r="N3" i="8"/>
  <c r="M21" i="8"/>
  <c r="M22" i="8" s="1"/>
  <c r="M34" i="8" s="1"/>
  <c r="M42" i="8" s="1"/>
  <c r="O27" i="8"/>
  <c r="N17" i="8"/>
  <c r="N11" i="8"/>
  <c r="M11" i="8"/>
  <c r="P11" i="8"/>
  <c r="AX62" i="1"/>
  <c r="L11" i="8" s="1"/>
  <c r="BC58" i="1"/>
  <c r="BC62" i="1" s="1"/>
  <c r="L21" i="8"/>
  <c r="L22" i="8" s="1"/>
  <c r="L34" i="8" s="1"/>
  <c r="L42" i="8" s="1"/>
  <c r="L25" i="8"/>
  <c r="L7" i="8"/>
  <c r="L16" i="8"/>
  <c r="L26" i="8"/>
  <c r="L10" i="8"/>
  <c r="L24" i="8"/>
  <c r="L5" i="8"/>
  <c r="L17" i="8"/>
  <c r="Q9" i="8"/>
  <c r="L30" i="8"/>
  <c r="L36" i="8" s="1"/>
  <c r="L44" i="8" s="1"/>
  <c r="L6" i="8"/>
  <c r="L3" i="8"/>
  <c r="L27" i="8"/>
  <c r="BB133" i="1"/>
  <c r="BK55" i="1"/>
  <c r="BK234" i="1"/>
  <c r="BP34" i="1"/>
  <c r="BK34" i="1"/>
  <c r="AN46" i="1"/>
  <c r="BK38" i="1"/>
  <c r="BK46" i="1" s="1"/>
  <c r="AN30" i="1"/>
  <c r="BK27" i="1"/>
  <c r="BM249" i="1"/>
  <c r="BK249" i="1"/>
  <c r="BM110" i="1"/>
  <c r="BK110" i="1"/>
  <c r="BM263" i="1"/>
  <c r="BK263" i="1"/>
  <c r="BK265" i="1" s="1"/>
  <c r="BM131" i="1"/>
  <c r="BK131" i="1"/>
  <c r="BM115" i="1"/>
  <c r="BK115" i="1"/>
  <c r="BM5" i="1"/>
  <c r="BK5" i="1"/>
  <c r="BM225" i="1"/>
  <c r="BK225" i="1"/>
  <c r="BM240" i="1"/>
  <c r="BK240" i="1"/>
  <c r="BM24" i="1"/>
  <c r="BK24" i="1"/>
  <c r="BM103" i="1"/>
  <c r="BK103" i="1"/>
  <c r="BM111" i="1"/>
  <c r="BK111" i="1"/>
  <c r="BM6" i="1"/>
  <c r="BK6" i="1"/>
  <c r="BM107" i="1"/>
  <c r="BK107" i="1"/>
  <c r="BO179" i="1"/>
  <c r="BK179" i="1"/>
  <c r="BN254" i="1"/>
  <c r="BK254" i="1"/>
  <c r="BM224" i="1"/>
  <c r="BK224" i="1"/>
  <c r="BM112" i="1"/>
  <c r="BK112" i="1"/>
  <c r="BM182" i="1"/>
  <c r="BK182" i="1"/>
  <c r="BO117" i="1"/>
  <c r="BK117" i="1"/>
  <c r="BN176" i="1"/>
  <c r="BK176" i="1"/>
  <c r="BO184" i="1"/>
  <c r="BK184" i="1"/>
  <c r="BN114" i="1"/>
  <c r="BK114" i="1"/>
  <c r="BO4" i="1"/>
  <c r="BK4" i="1"/>
  <c r="BN183" i="1"/>
  <c r="BK183" i="1"/>
  <c r="BN28" i="1"/>
  <c r="BK28" i="1"/>
  <c r="BN242" i="1"/>
  <c r="BK242" i="1"/>
  <c r="BN246" i="1"/>
  <c r="BK246" i="1"/>
  <c r="BN99" i="1"/>
  <c r="BK99" i="1"/>
  <c r="BO194" i="1"/>
  <c r="BK194" i="1"/>
  <c r="BK212" i="1" s="1"/>
  <c r="BO177" i="1"/>
  <c r="BK177" i="1"/>
  <c r="BO60" i="1"/>
  <c r="BK60" i="1"/>
  <c r="BN180" i="1"/>
  <c r="BK180" i="1"/>
  <c r="BO100" i="1"/>
  <c r="BK100" i="1"/>
  <c r="BM15" i="1"/>
  <c r="BK15" i="1"/>
  <c r="AA200" i="1"/>
  <c r="BL200" i="1" s="1"/>
  <c r="BR200" i="1" s="1"/>
  <c r="AA196" i="1"/>
  <c r="BL196" i="1" s="1"/>
  <c r="BR196" i="1" s="1"/>
  <c r="AA216" i="1"/>
  <c r="BL216" i="1" s="1"/>
  <c r="BR216" i="1" s="1"/>
  <c r="AA206" i="1"/>
  <c r="BL206" i="1" s="1"/>
  <c r="BR206" i="1" s="1"/>
  <c r="AA210" i="1"/>
  <c r="BL210" i="1" s="1"/>
  <c r="BR210" i="1" s="1"/>
  <c r="AA197" i="1"/>
  <c r="BL197" i="1" s="1"/>
  <c r="BR197" i="1" s="1"/>
  <c r="AA213" i="1"/>
  <c r="BL213" i="1" s="1"/>
  <c r="AA219" i="1"/>
  <c r="BL219" i="1" s="1"/>
  <c r="BR219" i="1" s="1"/>
  <c r="AA201" i="1"/>
  <c r="BL201" i="1" s="1"/>
  <c r="BR201" i="1" s="1"/>
  <c r="AA203" i="1"/>
  <c r="BL203" i="1" s="1"/>
  <c r="BR203" i="1" s="1"/>
  <c r="AA207" i="1"/>
  <c r="BL207" i="1" s="1"/>
  <c r="BR207" i="1" s="1"/>
  <c r="AA189" i="1"/>
  <c r="BL189" i="1" s="1"/>
  <c r="AA190" i="1"/>
  <c r="BL190" i="1" s="1"/>
  <c r="AA226" i="1"/>
  <c r="BL226" i="1" s="1"/>
  <c r="BR226" i="1" s="1"/>
  <c r="AA214" i="1"/>
  <c r="BL214" i="1" s="1"/>
  <c r="BR214" i="1" s="1"/>
  <c r="AA217" i="1"/>
  <c r="BL217" i="1" s="1"/>
  <c r="BR217" i="1" s="1"/>
  <c r="AA220" i="1"/>
  <c r="BL220" i="1" s="1"/>
  <c r="BR220" i="1" s="1"/>
  <c r="AA202" i="1"/>
  <c r="BL202" i="1" s="1"/>
  <c r="BR202" i="1" s="1"/>
  <c r="AA204" i="1"/>
  <c r="BL204" i="1" s="1"/>
  <c r="BR204" i="1" s="1"/>
  <c r="AA208" i="1"/>
  <c r="BL208" i="1" s="1"/>
  <c r="BR208" i="1" s="1"/>
  <c r="AA191" i="1"/>
  <c r="BL191" i="1" s="1"/>
  <c r="AA215" i="1"/>
  <c r="BL215" i="1" s="1"/>
  <c r="BR215" i="1" s="1"/>
  <c r="AA218" i="1"/>
  <c r="BL218" i="1" s="1"/>
  <c r="BR218" i="1" s="1"/>
  <c r="AA221" i="1"/>
  <c r="BL221" i="1" s="1"/>
  <c r="BR221" i="1" s="1"/>
  <c r="AA205" i="1"/>
  <c r="BL205" i="1" s="1"/>
  <c r="BR205" i="1" s="1"/>
  <c r="AA209" i="1"/>
  <c r="BL209" i="1" s="1"/>
  <c r="BR209" i="1" s="1"/>
  <c r="AA195" i="1"/>
  <c r="BL195" i="1" s="1"/>
  <c r="BR195" i="1" s="1"/>
  <c r="AA173" i="1"/>
  <c r="BL173" i="1" s="1"/>
  <c r="BR173" i="1" s="1"/>
  <c r="AA211" i="1"/>
  <c r="BL211" i="1" s="1"/>
  <c r="BR211" i="1" s="1"/>
  <c r="AA186" i="1"/>
  <c r="BL186" i="1" s="1"/>
  <c r="BR186" i="1" s="1"/>
  <c r="AA227" i="1"/>
  <c r="BL227" i="1" s="1"/>
  <c r="BR227" i="1" s="1"/>
  <c r="AA231" i="1"/>
  <c r="BL231" i="1" s="1"/>
  <c r="AA130" i="1"/>
  <c r="BL130" i="1" s="1"/>
  <c r="AA249" i="1"/>
  <c r="BL249" i="1" s="1"/>
  <c r="AA223" i="1"/>
  <c r="BL223" i="1" s="1"/>
  <c r="AA199" i="1"/>
  <c r="BL199" i="1" s="1"/>
  <c r="AA178" i="1"/>
  <c r="BL178" i="1" s="1"/>
  <c r="AA142" i="1"/>
  <c r="AA166" i="1"/>
  <c r="AA160" i="1"/>
  <c r="AA155" i="1"/>
  <c r="AA152" i="1"/>
  <c r="AA135" i="1"/>
  <c r="AA123" i="1"/>
  <c r="AA87" i="1"/>
  <c r="AA75" i="1"/>
  <c r="AA112" i="1"/>
  <c r="BL112" i="1" s="1"/>
  <c r="AA93" i="1"/>
  <c r="AA89" i="1"/>
  <c r="AA107" i="1"/>
  <c r="BL107" i="1" s="1"/>
  <c r="AA71" i="1"/>
  <c r="BL71" i="1" s="1"/>
  <c r="AA65" i="1"/>
  <c r="BL65" i="1" s="1"/>
  <c r="AA38" i="1"/>
  <c r="BL38" i="1" s="1"/>
  <c r="AA32" i="1"/>
  <c r="BL32" i="1" s="1"/>
  <c r="AA24" i="1"/>
  <c r="BL24" i="1" s="1"/>
  <c r="AA16" i="1"/>
  <c r="BL16" i="1" s="1"/>
  <c r="AA175" i="1"/>
  <c r="BL175" i="1" s="1"/>
  <c r="AA105" i="1"/>
  <c r="BL105" i="1" s="1"/>
  <c r="AA19" i="1"/>
  <c r="BL19" i="1" s="1"/>
  <c r="AA250" i="1"/>
  <c r="BL250" i="1" s="1"/>
  <c r="BR250" i="1" s="1"/>
  <c r="AA247" i="1"/>
  <c r="BL247" i="1" s="1"/>
  <c r="BR247" i="1" s="1"/>
  <c r="AA264" i="1"/>
  <c r="BL264" i="1" s="1"/>
  <c r="BR264" i="1" s="1"/>
  <c r="AA243" i="1"/>
  <c r="BL243" i="1" s="1"/>
  <c r="BR243" i="1" s="1"/>
  <c r="AA262" i="1"/>
  <c r="BL262" i="1" s="1"/>
  <c r="AA246" i="1"/>
  <c r="BL246" i="1" s="1"/>
  <c r="AA236" i="1"/>
  <c r="BL236" i="1" s="1"/>
  <c r="AA224" i="1"/>
  <c r="BL224" i="1" s="1"/>
  <c r="AA184" i="1"/>
  <c r="BL184" i="1" s="1"/>
  <c r="AA179" i="1"/>
  <c r="BL179" i="1" s="1"/>
  <c r="AA139" i="1"/>
  <c r="AA159" i="1"/>
  <c r="AA167" i="1"/>
  <c r="AA136" i="1"/>
  <c r="AA127" i="1"/>
  <c r="AA100" i="1"/>
  <c r="BL100" i="1" s="1"/>
  <c r="AA104" i="1"/>
  <c r="BL104" i="1" s="1"/>
  <c r="AA113" i="1"/>
  <c r="BL113" i="1" s="1"/>
  <c r="AA95" i="1"/>
  <c r="AA97" i="1"/>
  <c r="AA114" i="1"/>
  <c r="BL114" i="1" s="1"/>
  <c r="AA116" i="1"/>
  <c r="BL116" i="1" s="1"/>
  <c r="AA70" i="1"/>
  <c r="BL70" i="1" s="1"/>
  <c r="AA64" i="1"/>
  <c r="BL64" i="1" s="1"/>
  <c r="AA57" i="1"/>
  <c r="BL57" i="1" s="1"/>
  <c r="AA23" i="1"/>
  <c r="BL23" i="1" s="1"/>
  <c r="AA14" i="1"/>
  <c r="BL14" i="1" s="1"/>
  <c r="AA4" i="1"/>
  <c r="BL4" i="1" s="1"/>
  <c r="AA263" i="1"/>
  <c r="BL263" i="1" s="1"/>
  <c r="AA248" i="1"/>
  <c r="BL248" i="1" s="1"/>
  <c r="AA240" i="1"/>
  <c r="BL240" i="1" s="1"/>
  <c r="AA225" i="1"/>
  <c r="BL225" i="1" s="1"/>
  <c r="AA183" i="1"/>
  <c r="BL183" i="1" s="1"/>
  <c r="AA180" i="1"/>
  <c r="BL180" i="1" s="1"/>
  <c r="AA138" i="1"/>
  <c r="AA163" i="1"/>
  <c r="AA134" i="1"/>
  <c r="AA150" i="1"/>
  <c r="AA170" i="1"/>
  <c r="AA153" i="1"/>
  <c r="AA92" i="1"/>
  <c r="AA90" i="1"/>
  <c r="AA115" i="1"/>
  <c r="BL115" i="1" s="1"/>
  <c r="AA69" i="1"/>
  <c r="BL69" i="1" s="1"/>
  <c r="AA58" i="1"/>
  <c r="AA15" i="1"/>
  <c r="BL15" i="1" s="1"/>
  <c r="AA27" i="1"/>
  <c r="BL27" i="1" s="1"/>
  <c r="AA44" i="1"/>
  <c r="BL44" i="1" s="1"/>
  <c r="AA40" i="1"/>
  <c r="BL40" i="1" s="1"/>
  <c r="AA36" i="1"/>
  <c r="BL36" i="1" s="1"/>
  <c r="AA41" i="1"/>
  <c r="BL41" i="1" s="1"/>
  <c r="BR41" i="1" s="1"/>
  <c r="AA35" i="1"/>
  <c r="BL35" i="1" s="1"/>
  <c r="BR35" i="1" s="1"/>
  <c r="AA42" i="1"/>
  <c r="BL42" i="1" s="1"/>
  <c r="AA43" i="1"/>
  <c r="BL43" i="1" s="1"/>
  <c r="AA45" i="1"/>
  <c r="BL45" i="1" s="1"/>
  <c r="BR45" i="1" s="1"/>
  <c r="AA165" i="1"/>
  <c r="BL165" i="1" s="1"/>
  <c r="AA171" i="1"/>
  <c r="BL171" i="1" s="1"/>
  <c r="AA132" i="1"/>
  <c r="BL132" i="1" s="1"/>
  <c r="BR132" i="1" s="1"/>
  <c r="AA252" i="1"/>
  <c r="BL252" i="1" s="1"/>
  <c r="AA245" i="1"/>
  <c r="BL245" i="1" s="1"/>
  <c r="AA235" i="1"/>
  <c r="BL235" i="1" s="1"/>
  <c r="AA193" i="1"/>
  <c r="BL193" i="1" s="1"/>
  <c r="AA176" i="1"/>
  <c r="BL176" i="1" s="1"/>
  <c r="AA174" i="1"/>
  <c r="BL174" i="1" s="1"/>
  <c r="AA162" i="1"/>
  <c r="AA158" i="1"/>
  <c r="AA145" i="1"/>
  <c r="AA148" i="1"/>
  <c r="AA169" i="1"/>
  <c r="AA129" i="1"/>
  <c r="BL129" i="1" s="1"/>
  <c r="AA98" i="1"/>
  <c r="AA86" i="1"/>
  <c r="AA103" i="1"/>
  <c r="BL103" i="1" s="1"/>
  <c r="AA94" i="1"/>
  <c r="AA79" i="1"/>
  <c r="AA119" i="1"/>
  <c r="BL119" i="1" s="1"/>
  <c r="AA101" i="1"/>
  <c r="BL101" i="1" s="1"/>
  <c r="AA68" i="1"/>
  <c r="BL68" i="1" s="1"/>
  <c r="AA22" i="1"/>
  <c r="BL22" i="1" s="1"/>
  <c r="AA13" i="1"/>
  <c r="BL13" i="1" s="1"/>
  <c r="AA9" i="1"/>
  <c r="BL9" i="1" s="1"/>
  <c r="AA253" i="1"/>
  <c r="BL253" i="1" s="1"/>
  <c r="AA102" i="1"/>
  <c r="BL102" i="1" s="1"/>
  <c r="AA6" i="1"/>
  <c r="BL6" i="1" s="1"/>
  <c r="AA255" i="1"/>
  <c r="BL255" i="1" s="1"/>
  <c r="AA239" i="1"/>
  <c r="BL239" i="1" s="1"/>
  <c r="AA229" i="1"/>
  <c r="BL229" i="1" s="1"/>
  <c r="AA194" i="1"/>
  <c r="BL194" i="1" s="1"/>
  <c r="AA177" i="1"/>
  <c r="BL177" i="1" s="1"/>
  <c r="AA181" i="1"/>
  <c r="BL181" i="1" s="1"/>
  <c r="AA143" i="1"/>
  <c r="AA161" i="1"/>
  <c r="AA149" i="1"/>
  <c r="AA122" i="1"/>
  <c r="BL122" i="1" s="1"/>
  <c r="AA128" i="1"/>
  <c r="BL128" i="1" s="1"/>
  <c r="AA81" i="1"/>
  <c r="AA76" i="1"/>
  <c r="AA99" i="1"/>
  <c r="BL99" i="1" s="1"/>
  <c r="AA88" i="1"/>
  <c r="AA111" i="1"/>
  <c r="BL111" i="1" s="1"/>
  <c r="AA67" i="1"/>
  <c r="BL67" i="1" s="1"/>
  <c r="AA63" i="1"/>
  <c r="BL63" i="1" s="1"/>
  <c r="AA59" i="1"/>
  <c r="BL59" i="1" s="1"/>
  <c r="AA48" i="1"/>
  <c r="BL48" i="1" s="1"/>
  <c r="AA10" i="1"/>
  <c r="BL10" i="1" s="1"/>
  <c r="AA31" i="1"/>
  <c r="BL31" i="1" s="1"/>
  <c r="AA120" i="1"/>
  <c r="BL120" i="1" s="1"/>
  <c r="BR120" i="1" s="1"/>
  <c r="AA61" i="1"/>
  <c r="BL61" i="1" s="1"/>
  <c r="BR61" i="1" s="1"/>
  <c r="AA260" i="1"/>
  <c r="BL260" i="1" s="1"/>
  <c r="AA254" i="1"/>
  <c r="BL254" i="1" s="1"/>
  <c r="AA238" i="1"/>
  <c r="BL238" i="1" s="1"/>
  <c r="AA237" i="1"/>
  <c r="BL237" i="1" s="1"/>
  <c r="AA230" i="1"/>
  <c r="BL230" i="1" s="1"/>
  <c r="AA198" i="1"/>
  <c r="BL198" i="1" s="1"/>
  <c r="AA182" i="1"/>
  <c r="BL182" i="1" s="1"/>
  <c r="AA185" i="1"/>
  <c r="BL185" i="1" s="1"/>
  <c r="AA144" i="1"/>
  <c r="AA157" i="1"/>
  <c r="AA154" i="1"/>
  <c r="AA168" i="1"/>
  <c r="AA126" i="1"/>
  <c r="AA91" i="1"/>
  <c r="AA85" i="1"/>
  <c r="AA110" i="1"/>
  <c r="BL110" i="1" s="1"/>
  <c r="AA77" i="1"/>
  <c r="AA66" i="1"/>
  <c r="BL66" i="1" s="1"/>
  <c r="AA60" i="1"/>
  <c r="BL60" i="1" s="1"/>
  <c r="AA47" i="1"/>
  <c r="BL47" i="1" s="1"/>
  <c r="AA51" i="1"/>
  <c r="BL51" i="1" s="1"/>
  <c r="BR51" i="1" s="1"/>
  <c r="AA52" i="1"/>
  <c r="BL52" i="1" s="1"/>
  <c r="BR52" i="1" s="1"/>
  <c r="AA50" i="1"/>
  <c r="BL50" i="1" s="1"/>
  <c r="AA257" i="1"/>
  <c r="BL257" i="1" s="1"/>
  <c r="BR257" i="1" s="1"/>
  <c r="AA53" i="1"/>
  <c r="BL53" i="1" s="1"/>
  <c r="BR53" i="1" s="1"/>
  <c r="AA7" i="1"/>
  <c r="BL7" i="1" s="1"/>
  <c r="BR7" i="1" s="1"/>
  <c r="AA29" i="1"/>
  <c r="BL29" i="1" s="1"/>
  <c r="BR29" i="1" s="1"/>
  <c r="AA33" i="1"/>
  <c r="BL33" i="1" s="1"/>
  <c r="BR33" i="1" s="1"/>
  <c r="AA233" i="1"/>
  <c r="BL233" i="1" s="1"/>
  <c r="BR233" i="1" s="1"/>
  <c r="AA11" i="1"/>
  <c r="BL11" i="1" s="1"/>
  <c r="BR11" i="1" s="1"/>
  <c r="AA25" i="1"/>
  <c r="BL25" i="1" s="1"/>
  <c r="BR25" i="1" s="1"/>
  <c r="AA258" i="1"/>
  <c r="BL258" i="1" s="1"/>
  <c r="BR258" i="1" s="1"/>
  <c r="AA17" i="1"/>
  <c r="BL17" i="1" s="1"/>
  <c r="BR17" i="1" s="1"/>
  <c r="AA108" i="1"/>
  <c r="BL108" i="1" s="1"/>
  <c r="AA118" i="1"/>
  <c r="BL118" i="1" s="1"/>
  <c r="AA261" i="1"/>
  <c r="BL261" i="1" s="1"/>
  <c r="AA256" i="1"/>
  <c r="BL256" i="1" s="1"/>
  <c r="AA241" i="1"/>
  <c r="BL241" i="1" s="1"/>
  <c r="AA232" i="1"/>
  <c r="BL232" i="1" s="1"/>
  <c r="AA188" i="1"/>
  <c r="BL188" i="1" s="1"/>
  <c r="AA146" i="1"/>
  <c r="AA140" i="1"/>
  <c r="AA125" i="1"/>
  <c r="AA74" i="1"/>
  <c r="AA109" i="1"/>
  <c r="BL109" i="1" s="1"/>
  <c r="AA83" i="1"/>
  <c r="AA117" i="1"/>
  <c r="BL117" i="1" s="1"/>
  <c r="AA84" i="1"/>
  <c r="AA49" i="1"/>
  <c r="BL49" i="1" s="1"/>
  <c r="AA28" i="1"/>
  <c r="BL28" i="1" s="1"/>
  <c r="AA20" i="1"/>
  <c r="BL20" i="1" s="1"/>
  <c r="AA131" i="1"/>
  <c r="BL131" i="1" s="1"/>
  <c r="T37" i="8"/>
  <c r="BC18" i="1"/>
  <c r="BD172" i="1"/>
  <c r="BP172" i="1"/>
  <c r="AZ172" i="1"/>
  <c r="AY172" i="1"/>
  <c r="BC228" i="1"/>
  <c r="AZ133" i="1"/>
  <c r="AN34" i="1"/>
  <c r="BD30" i="1"/>
  <c r="BD265" i="1"/>
  <c r="BD34" i="1"/>
  <c r="BP234" i="1"/>
  <c r="AX133" i="1"/>
  <c r="AY133" i="1"/>
  <c r="BP18" i="1"/>
  <c r="BP12" i="1"/>
  <c r="BC12" i="1"/>
  <c r="BD234" i="1"/>
  <c r="BD26" i="1"/>
  <c r="BP259" i="1"/>
  <c r="BP251" i="1"/>
  <c r="BP244" i="1"/>
  <c r="BP62" i="1"/>
  <c r="BC251" i="1"/>
  <c r="BD228" i="1"/>
  <c r="BD62" i="1"/>
  <c r="BD121" i="1"/>
  <c r="BD55" i="1"/>
  <c r="AN73" i="1"/>
  <c r="AN234" i="1"/>
  <c r="BC26" i="1"/>
  <c r="BD259" i="1"/>
  <c r="BD251" i="1"/>
  <c r="BD244" i="1"/>
  <c r="BD187" i="1"/>
  <c r="BD8" i="1"/>
  <c r="BP121" i="1"/>
  <c r="BP55" i="1"/>
  <c r="AN26" i="1"/>
  <c r="BC212" i="1"/>
  <c r="BC73" i="1"/>
  <c r="BC34" i="1"/>
  <c r="BP187" i="1"/>
  <c r="BP8" i="1"/>
  <c r="BC265" i="1"/>
  <c r="BP30" i="1"/>
  <c r="BP26" i="1"/>
  <c r="AX121" i="1"/>
  <c r="BC8" i="1"/>
  <c r="BD212" i="1"/>
  <c r="BP265" i="1"/>
  <c r="AZ121" i="1"/>
  <c r="BD133" i="1"/>
  <c r="BD46" i="1"/>
  <c r="BP212" i="1"/>
  <c r="AN265" i="1"/>
  <c r="AY121" i="1"/>
  <c r="BD73" i="1"/>
  <c r="BD18" i="1"/>
  <c r="BD12" i="1"/>
  <c r="BP133" i="1"/>
  <c r="BP46" i="1"/>
  <c r="BC244" i="1"/>
  <c r="BB121" i="1"/>
  <c r="BC259" i="1"/>
  <c r="BC55" i="1"/>
  <c r="BP228" i="1"/>
  <c r="BP73" i="1"/>
  <c r="AN55" i="1"/>
  <c r="BC187" i="1"/>
  <c r="BC234" i="1"/>
  <c r="BO174" i="1"/>
  <c r="AN187" i="1"/>
  <c r="BM188" i="1"/>
  <c r="AN212" i="1"/>
  <c r="BM122" i="1"/>
  <c r="BM9" i="1"/>
  <c r="AN12" i="1"/>
  <c r="BO252" i="1"/>
  <c r="AN259" i="1"/>
  <c r="BM223" i="1"/>
  <c r="AN228" i="1"/>
  <c r="BM235" i="1"/>
  <c r="AN244" i="1"/>
  <c r="BN13" i="1"/>
  <c r="AN18" i="1"/>
  <c r="BO245" i="1"/>
  <c r="AN251" i="1"/>
  <c r="BR37" i="1"/>
  <c r="BO15" i="1"/>
  <c r="BM245" i="1"/>
  <c r="BN245" i="1"/>
  <c r="BM28" i="1"/>
  <c r="BL242" i="1"/>
  <c r="BM32" i="1"/>
  <c r="BM65" i="1"/>
  <c r="BM194" i="1"/>
  <c r="BM242" i="1"/>
  <c r="BN60" i="1"/>
  <c r="BM60" i="1"/>
  <c r="BN32" i="1"/>
  <c r="BO32" i="1"/>
  <c r="BN15" i="1"/>
  <c r="BO180" i="1"/>
  <c r="BM180" i="1"/>
  <c r="BM254" i="1"/>
  <c r="BM100" i="1"/>
  <c r="BN100" i="1"/>
  <c r="BM179" i="1"/>
  <c r="BO242" i="1"/>
  <c r="BM67" i="1"/>
  <c r="BM199" i="1"/>
  <c r="BM4" i="1"/>
  <c r="BO246" i="1"/>
  <c r="BO99" i="1"/>
  <c r="BM57" i="1"/>
  <c r="BO182" i="1"/>
  <c r="BM177" i="1"/>
  <c r="BO57" i="1"/>
  <c r="BM66" i="1"/>
  <c r="BM64" i="1"/>
  <c r="BM69" i="1"/>
  <c r="BO13" i="1"/>
  <c r="BM231" i="1"/>
  <c r="BM13" i="1"/>
  <c r="BN199" i="1"/>
  <c r="BN184" i="1"/>
  <c r="BM253" i="1"/>
  <c r="BM252" i="1"/>
  <c r="BN194" i="1"/>
  <c r="BM99" i="1"/>
  <c r="BO183" i="1"/>
  <c r="BN57" i="1"/>
  <c r="BO176" i="1"/>
  <c r="BN179" i="1"/>
  <c r="BO28" i="1"/>
  <c r="BM184" i="1"/>
  <c r="BM183" i="1"/>
  <c r="BN182" i="1"/>
  <c r="BM114" i="1"/>
  <c r="BM176" i="1"/>
  <c r="BO114" i="1"/>
  <c r="BM48" i="1"/>
  <c r="BM239" i="1"/>
  <c r="BM71" i="1"/>
  <c r="BM102" i="1"/>
  <c r="BO199" i="1"/>
  <c r="BO224" i="1"/>
  <c r="BM178" i="1"/>
  <c r="BN4" i="1"/>
  <c r="BN224" i="1"/>
  <c r="BM246" i="1"/>
  <c r="AN84" i="1"/>
  <c r="AN156" i="1"/>
  <c r="BM105" i="1"/>
  <c r="BM192" i="1"/>
  <c r="BM117" i="1"/>
  <c r="BO112" i="1"/>
  <c r="BN112" i="1"/>
  <c r="BN117" i="1"/>
  <c r="AN159" i="1"/>
  <c r="AN86" i="1"/>
  <c r="BK86" i="1" s="1"/>
  <c r="AN85" i="1"/>
  <c r="AN88" i="1"/>
  <c r="BO254" i="1"/>
  <c r="AN125" i="1"/>
  <c r="AN127" i="1"/>
  <c r="BO63" i="1"/>
  <c r="BO73" i="1" s="1"/>
  <c r="BN63" i="1"/>
  <c r="BN73" i="1" s="1"/>
  <c r="BO229" i="1"/>
  <c r="BN229" i="1"/>
  <c r="BO118" i="1"/>
  <c r="BN118" i="1"/>
  <c r="AN143" i="1"/>
  <c r="BK143" i="1" s="1"/>
  <c r="BN130" i="1"/>
  <c r="BO130" i="1"/>
  <c r="AN90" i="1"/>
  <c r="BO188" i="1"/>
  <c r="BN188" i="1"/>
  <c r="BO122" i="1"/>
  <c r="BN122" i="1"/>
  <c r="BO111" i="1"/>
  <c r="BN111" i="1"/>
  <c r="BO6" i="1"/>
  <c r="BN6" i="1"/>
  <c r="BO185" i="1"/>
  <c r="BN185" i="1"/>
  <c r="BO119" i="1"/>
  <c r="BN119" i="1"/>
  <c r="BO108" i="1"/>
  <c r="BN108" i="1"/>
  <c r="BN256" i="1"/>
  <c r="BO256" i="1"/>
  <c r="BO255" i="1"/>
  <c r="BN255" i="1"/>
  <c r="BN236" i="1"/>
  <c r="BO236" i="1"/>
  <c r="BO260" i="1"/>
  <c r="BN260" i="1"/>
  <c r="BO237" i="1"/>
  <c r="BN237" i="1"/>
  <c r="BO123" i="1"/>
  <c r="BN123" i="1"/>
  <c r="BO115" i="1"/>
  <c r="BN115" i="1"/>
  <c r="BO192" i="1"/>
  <c r="BN192" i="1"/>
  <c r="BO24" i="1"/>
  <c r="BN24" i="1"/>
  <c r="BO56" i="1"/>
  <c r="BN56" i="1"/>
  <c r="BO261" i="1"/>
  <c r="BN261" i="1"/>
  <c r="BO38" i="1"/>
  <c r="BO46" i="1" s="1"/>
  <c r="BN38" i="1"/>
  <c r="BN46" i="1" s="1"/>
  <c r="BO14" i="1"/>
  <c r="BN14" i="1"/>
  <c r="BO49" i="1"/>
  <c r="BN49" i="1"/>
  <c r="BN181" i="1"/>
  <c r="BO181" i="1"/>
  <c r="BO59" i="1"/>
  <c r="BN59" i="1"/>
  <c r="BN193" i="1"/>
  <c r="BO193" i="1"/>
  <c r="BO104" i="1"/>
  <c r="BN104" i="1"/>
  <c r="BM261" i="1"/>
  <c r="BO5" i="1"/>
  <c r="BN5" i="1"/>
  <c r="BN223" i="1"/>
  <c r="BO223" i="1"/>
  <c r="BN178" i="1"/>
  <c r="BO178" i="1"/>
  <c r="BN103" i="1"/>
  <c r="BO103" i="1"/>
  <c r="BO116" i="1"/>
  <c r="BN116" i="1"/>
  <c r="BO262" i="1"/>
  <c r="BN262" i="1"/>
  <c r="BN128" i="1"/>
  <c r="BO128" i="1"/>
  <c r="BN129" i="1"/>
  <c r="BO129" i="1"/>
  <c r="AN154" i="1"/>
  <c r="BK154" i="1" s="1"/>
  <c r="BO48" i="1"/>
  <c r="BN48" i="1"/>
  <c r="BN9" i="1"/>
  <c r="BO9" i="1"/>
  <c r="BO248" i="1"/>
  <c r="BN248" i="1"/>
  <c r="BO20" i="1"/>
  <c r="BN20" i="1"/>
  <c r="BN113" i="1"/>
  <c r="BO113" i="1"/>
  <c r="AN79" i="1"/>
  <c r="BK79" i="1" s="1"/>
  <c r="BN101" i="1"/>
  <c r="BO101" i="1"/>
  <c r="BO175" i="1"/>
  <c r="BN175" i="1"/>
  <c r="BO23" i="1"/>
  <c r="BN23" i="1"/>
  <c r="BO109" i="1"/>
  <c r="BN109" i="1"/>
  <c r="BO230" i="1"/>
  <c r="BN230" i="1"/>
  <c r="BM56" i="1"/>
  <c r="BN102" i="1"/>
  <c r="BO102" i="1"/>
  <c r="BO105" i="1"/>
  <c r="BN105" i="1"/>
  <c r="BO239" i="1"/>
  <c r="BN239" i="1"/>
  <c r="BO253" i="1"/>
  <c r="BN253" i="1"/>
  <c r="BO27" i="1"/>
  <c r="BN27" i="1"/>
  <c r="AN142" i="1"/>
  <c r="BO31" i="1"/>
  <c r="BN31" i="1"/>
  <c r="BO241" i="1"/>
  <c r="BN241" i="1"/>
  <c r="AN162" i="1"/>
  <c r="AN87" i="1"/>
  <c r="AN78" i="1"/>
  <c r="BK78" i="1" s="1"/>
  <c r="BO249" i="1"/>
  <c r="BN249" i="1"/>
  <c r="BN110" i="1"/>
  <c r="BO110" i="1"/>
  <c r="BO263" i="1"/>
  <c r="BN263" i="1"/>
  <c r="BO131" i="1"/>
  <c r="BN131" i="1"/>
  <c r="BO231" i="1"/>
  <c r="BN231" i="1"/>
  <c r="BO235" i="1"/>
  <c r="BN235" i="1"/>
  <c r="BO107" i="1"/>
  <c r="BN107" i="1"/>
  <c r="BO232" i="1"/>
  <c r="BN232" i="1"/>
  <c r="BO19" i="1"/>
  <c r="BN19" i="1"/>
  <c r="BN10" i="1"/>
  <c r="BO10" i="1"/>
  <c r="AN157" i="1"/>
  <c r="BK157" i="1" s="1"/>
  <c r="BO16" i="1"/>
  <c r="BN16" i="1"/>
  <c r="AN81" i="1"/>
  <c r="BN238" i="1"/>
  <c r="BO238" i="1"/>
  <c r="BN22" i="1"/>
  <c r="BO22" i="1"/>
  <c r="BO47" i="1"/>
  <c r="BN47" i="1"/>
  <c r="BO198" i="1"/>
  <c r="BN198" i="1"/>
  <c r="AN77" i="1"/>
  <c r="BO225" i="1"/>
  <c r="BN225" i="1"/>
  <c r="BO240" i="1"/>
  <c r="BN240" i="1"/>
  <c r="BM262" i="1"/>
  <c r="BM31" i="1"/>
  <c r="BM70" i="1"/>
  <c r="BM174" i="1"/>
  <c r="BM116" i="1"/>
  <c r="BM241" i="1"/>
  <c r="BM248" i="1"/>
  <c r="BM20" i="1"/>
  <c r="BM113" i="1"/>
  <c r="BM10" i="1"/>
  <c r="BM16" i="1"/>
  <c r="BM130" i="1"/>
  <c r="BM198" i="1"/>
  <c r="BM27" i="1"/>
  <c r="BM63" i="1"/>
  <c r="Y12" i="8"/>
  <c r="BM229" i="1"/>
  <c r="AN136" i="1"/>
  <c r="BK136" i="1" s="1"/>
  <c r="BM260" i="1"/>
  <c r="BM237" i="1"/>
  <c r="AN74" i="1"/>
  <c r="BK74" i="1" s="1"/>
  <c r="AN58" i="1"/>
  <c r="BM232" i="1"/>
  <c r="BM19" i="1"/>
  <c r="BM193" i="1"/>
  <c r="BM104" i="1"/>
  <c r="AN83" i="1"/>
  <c r="BK83" i="1" s="1"/>
  <c r="BM185" i="1"/>
  <c r="AN139" i="1"/>
  <c r="BK139" i="1" s="1"/>
  <c r="AN89" i="1"/>
  <c r="BK89" i="1" s="1"/>
  <c r="BM256" i="1"/>
  <c r="BM255" i="1"/>
  <c r="BM236" i="1"/>
  <c r="BM129" i="1"/>
  <c r="BM123" i="1"/>
  <c r="AN75" i="1"/>
  <c r="BK75" i="1" s="1"/>
  <c r="AN163" i="1"/>
  <c r="BK163" i="1" s="1"/>
  <c r="BM118" i="1"/>
  <c r="AN148" i="1"/>
  <c r="BK148" i="1" s="1"/>
  <c r="BM181" i="1"/>
  <c r="AN149" i="1"/>
  <c r="BK149" i="1" s="1"/>
  <c r="BM59" i="1"/>
  <c r="BM23" i="1"/>
  <c r="BM109" i="1"/>
  <c r="BM230" i="1"/>
  <c r="AN170" i="1"/>
  <c r="BK170" i="1" s="1"/>
  <c r="BM68" i="1"/>
  <c r="BM119" i="1"/>
  <c r="BM108" i="1"/>
  <c r="BM128" i="1"/>
  <c r="AN80" i="1"/>
  <c r="BK80" i="1" s="1"/>
  <c r="BM38" i="1"/>
  <c r="BM46" i="1" s="1"/>
  <c r="BM14" i="1"/>
  <c r="BM49" i="1"/>
  <c r="AN91" i="1"/>
  <c r="BK91" i="1" s="1"/>
  <c r="BM101" i="1"/>
  <c r="AN168" i="1"/>
  <c r="BK168" i="1" s="1"/>
  <c r="BM175" i="1"/>
  <c r="AN126" i="1"/>
  <c r="BK126" i="1" s="1"/>
  <c r="BM238" i="1"/>
  <c r="BM22" i="1"/>
  <c r="BM47" i="1"/>
  <c r="AN144" i="1"/>
  <c r="BK144" i="1" s="1"/>
  <c r="AN82" i="1"/>
  <c r="BK82" i="1" s="1"/>
  <c r="AN76" i="1"/>
  <c r="BK76" i="1" s="1"/>
  <c r="BG181" i="1"/>
  <c r="BG168" i="1"/>
  <c r="BG20" i="1"/>
  <c r="BG83" i="1"/>
  <c r="BG232" i="1"/>
  <c r="BH15" i="1"/>
  <c r="BH156" i="1"/>
  <c r="BH242" i="1"/>
  <c r="BH93" i="1"/>
  <c r="BH237" i="1"/>
  <c r="BH238" i="1"/>
  <c r="BH13" i="1"/>
  <c r="BH154" i="1"/>
  <c r="BG66" i="1"/>
  <c r="BG84" i="1"/>
  <c r="BG128" i="1"/>
  <c r="BG166" i="1"/>
  <c r="BG13" i="1"/>
  <c r="BG67" i="1"/>
  <c r="BG85" i="1"/>
  <c r="BG68" i="1"/>
  <c r="BG90" i="1"/>
  <c r="BG58" i="1"/>
  <c r="BG69" i="1"/>
  <c r="BG107" i="1"/>
  <c r="BG146" i="1"/>
  <c r="BG64" i="1"/>
  <c r="BG70" i="1"/>
  <c r="BG86" i="1"/>
  <c r="BG4" i="1"/>
  <c r="BG27" i="1"/>
  <c r="BG65" i="1"/>
  <c r="BG71" i="1"/>
  <c r="BG98" i="1"/>
  <c r="BG117" i="1"/>
  <c r="BG48" i="1"/>
  <c r="BG82" i="1"/>
  <c r="BG126" i="1"/>
  <c r="BG178" i="1"/>
  <c r="BG262" i="1"/>
  <c r="BG260" i="1"/>
  <c r="BG194" i="1"/>
  <c r="BG182" i="1"/>
  <c r="BG254" i="1"/>
  <c r="BG263" i="1"/>
  <c r="BG249" i="1"/>
  <c r="BG63" i="1"/>
  <c r="BG193" i="1"/>
  <c r="BG129" i="1"/>
  <c r="BG167" i="1"/>
  <c r="BG14" i="1"/>
  <c r="BG22" i="1"/>
  <c r="BG123" i="1"/>
  <c r="BG131" i="1"/>
  <c r="BG24" i="1"/>
  <c r="BG80" i="1"/>
  <c r="BG124" i="1"/>
  <c r="BG176" i="1"/>
  <c r="BG19" i="1"/>
  <c r="BG28" i="1"/>
  <c r="BG138" i="1"/>
  <c r="BG252" i="1"/>
  <c r="BG230" i="1"/>
  <c r="BG49" i="1"/>
  <c r="BH76" i="1"/>
  <c r="BH147" i="1"/>
  <c r="BH144" i="1"/>
  <c r="BH69" i="1"/>
  <c r="BH107" i="1"/>
  <c r="BH146" i="1"/>
  <c r="BH262" i="1"/>
  <c r="BH64" i="1"/>
  <c r="BH70" i="1"/>
  <c r="BH86" i="1"/>
  <c r="BH134" i="1"/>
  <c r="BH4" i="1"/>
  <c r="BH27" i="1"/>
  <c r="BH65" i="1"/>
  <c r="BH71" i="1"/>
  <c r="BH98" i="1"/>
  <c r="BH117" i="1"/>
  <c r="BH28" i="1"/>
  <c r="BH48" i="1"/>
  <c r="BH82" i="1"/>
  <c r="BH126" i="1"/>
  <c r="BH178" i="1"/>
  <c r="BH236" i="1"/>
  <c r="BH254" i="1"/>
  <c r="BH263" i="1"/>
  <c r="BH63" i="1"/>
  <c r="BH182" i="1"/>
  <c r="BH194" i="1"/>
  <c r="BH66" i="1"/>
  <c r="BH84" i="1"/>
  <c r="BH128" i="1"/>
  <c r="BH67" i="1"/>
  <c r="BH85" i="1"/>
  <c r="BH129" i="1"/>
  <c r="BH90" i="1"/>
  <c r="BH68" i="1"/>
  <c r="BH249" i="1"/>
  <c r="BG145" i="1"/>
  <c r="BG77" i="1"/>
  <c r="BG38" i="1"/>
  <c r="BG46" i="1" s="1"/>
  <c r="BG141" i="1"/>
  <c r="BG225" i="1"/>
  <c r="BG241" i="1"/>
  <c r="BG235" i="1"/>
  <c r="BG248" i="1"/>
  <c r="BG177" i="1"/>
  <c r="BG199" i="1"/>
  <c r="BG245" i="1"/>
  <c r="BH131" i="1"/>
  <c r="BH124" i="1"/>
  <c r="BH230" i="1"/>
  <c r="BH123" i="1"/>
  <c r="BH79" i="1"/>
  <c r="BH252" i="1"/>
  <c r="BH232" i="1"/>
  <c r="BH91" i="1"/>
  <c r="BH115" i="1"/>
  <c r="BH164" i="1"/>
  <c r="BH175" i="1"/>
  <c r="BH199" i="1"/>
  <c r="BH241" i="1"/>
  <c r="BH38" i="1"/>
  <c r="BH19" i="1"/>
  <c r="BH166" i="1"/>
  <c r="BH225" i="1"/>
  <c r="BH14" i="1"/>
  <c r="BH31" i="1"/>
  <c r="BH58" i="1"/>
  <c r="BH78" i="1"/>
  <c r="BH96" i="1"/>
  <c r="BH104" i="1"/>
  <c r="BH16" i="1"/>
  <c r="BH97" i="1"/>
  <c r="BH176" i="1"/>
  <c r="BH59" i="1"/>
  <c r="BH109" i="1"/>
  <c r="BH158" i="1"/>
  <c r="BH169" i="1"/>
  <c r="BH177" i="1"/>
  <c r="BH253" i="1"/>
  <c r="BH6" i="1"/>
  <c r="BH20" i="1"/>
  <c r="BH60" i="1"/>
  <c r="BH92" i="1"/>
  <c r="BH99" i="1"/>
  <c r="BH110" i="1"/>
  <c r="BH136" i="1"/>
  <c r="BH170" i="1"/>
  <c r="BH185" i="1"/>
  <c r="BH5" i="1"/>
  <c r="BH100" i="1"/>
  <c r="BH119" i="1"/>
  <c r="BH179" i="1"/>
  <c r="BH255" i="1"/>
  <c r="BH9" i="1"/>
  <c r="BH101" i="1"/>
  <c r="BH112" i="1"/>
  <c r="BH180" i="1"/>
  <c r="BH183" i="1"/>
  <c r="BH10" i="1"/>
  <c r="BH94" i="1"/>
  <c r="BH113" i="1"/>
  <c r="BH162" i="1"/>
  <c r="BH224" i="1"/>
  <c r="BH260" i="1"/>
  <c r="BH114" i="1"/>
  <c r="BH155" i="1"/>
  <c r="BH130" i="1"/>
  <c r="BH240" i="1"/>
  <c r="BH22" i="1"/>
  <c r="BH88" i="1"/>
  <c r="BH261" i="1"/>
  <c r="BH198" i="1"/>
  <c r="BH174" i="1"/>
  <c r="BG56" i="1"/>
  <c r="BG153" i="1"/>
  <c r="BG161" i="1"/>
  <c r="BG183" i="1"/>
  <c r="BG223" i="1"/>
  <c r="BG57" i="1"/>
  <c r="BG184" i="1"/>
  <c r="BG122" i="1"/>
  <c r="BG144" i="1"/>
  <c r="BG147" i="1"/>
  <c r="BG75" i="1"/>
  <c r="BG91" i="1"/>
  <c r="BG89" i="1"/>
  <c r="BG164" i="1"/>
  <c r="BG76" i="1"/>
  <c r="BG79" i="1"/>
  <c r="BG108" i="1"/>
  <c r="BG149" i="1"/>
  <c r="BG125" i="1"/>
  <c r="BG135" i="1"/>
  <c r="BG159" i="1"/>
  <c r="BG127" i="1"/>
  <c r="BG175" i="1"/>
  <c r="BG231" i="1"/>
  <c r="BG236" i="1"/>
  <c r="BG152" i="1"/>
  <c r="BG192" i="1"/>
  <c r="BG256" i="1"/>
  <c r="BG113" i="1"/>
  <c r="BG162" i="1"/>
  <c r="BG114" i="1"/>
  <c r="BG130" i="1"/>
  <c r="BG155" i="1"/>
  <c r="BG31" i="1"/>
  <c r="BG78" i="1"/>
  <c r="BG104" i="1"/>
  <c r="BG115" i="1"/>
  <c r="BG105" i="1"/>
  <c r="BG116" i="1"/>
  <c r="BG134" i="1"/>
  <c r="BG109" i="1"/>
  <c r="BG118" i="1"/>
  <c r="BG185" i="1"/>
  <c r="BG100" i="1"/>
  <c r="BG237" i="1"/>
  <c r="BG239" i="1"/>
  <c r="BG261" i="1"/>
  <c r="BH108" i="1"/>
  <c r="BH141" i="1"/>
  <c r="BH159" i="1"/>
  <c r="BH256" i="1"/>
  <c r="BH184" i="1"/>
  <c r="BH77" i="1"/>
  <c r="BH181" i="1"/>
  <c r="BH248" i="1"/>
  <c r="BG9" i="1"/>
  <c r="BG101" i="1"/>
  <c r="BG112" i="1"/>
  <c r="BG143" i="1"/>
  <c r="BG180" i="1"/>
  <c r="BG10" i="1"/>
  <c r="BG87" i="1"/>
  <c r="BG94" i="1"/>
  <c r="BG102" i="1"/>
  <c r="BG154" i="1"/>
  <c r="BG224" i="1"/>
  <c r="BG74" i="1"/>
  <c r="BG88" i="1"/>
  <c r="BG95" i="1"/>
  <c r="BG103" i="1"/>
  <c r="BG163" i="1"/>
  <c r="BG174" i="1"/>
  <c r="BG15" i="1"/>
  <c r="BG23" i="1"/>
  <c r="BG96" i="1"/>
  <c r="BG148" i="1"/>
  <c r="BG156" i="1"/>
  <c r="BG16" i="1"/>
  <c r="BG32" i="1"/>
  <c r="BG97" i="1"/>
  <c r="BG157" i="1"/>
  <c r="BG188" i="1"/>
  <c r="BG229" i="1"/>
  <c r="BG47" i="1"/>
  <c r="BG59" i="1"/>
  <c r="BG81" i="1"/>
  <c r="BG140" i="1"/>
  <c r="BG150" i="1"/>
  <c r="BG158" i="1"/>
  <c r="BG169" i="1"/>
  <c r="BG6" i="1"/>
  <c r="BG60" i="1"/>
  <c r="BG92" i="1"/>
  <c r="BG99" i="1"/>
  <c r="BG110" i="1"/>
  <c r="BG136" i="1"/>
  <c r="BG151" i="1"/>
  <c r="BG170" i="1"/>
  <c r="BG139" i="1"/>
  <c r="BG240" i="1"/>
  <c r="BG93" i="1"/>
  <c r="BG142" i="1"/>
  <c r="BG242" i="1"/>
  <c r="BG253" i="1"/>
  <c r="BG198" i="1"/>
  <c r="BG111" i="1"/>
  <c r="BG255" i="1"/>
  <c r="BG5" i="1"/>
  <c r="BG119" i="1"/>
  <c r="BG160" i="1"/>
  <c r="BG179" i="1"/>
  <c r="BG238" i="1"/>
  <c r="BG246" i="1"/>
  <c r="AN146" i="1" l="1"/>
  <c r="H37" i="8"/>
  <c r="AN164" i="1"/>
  <c r="F45" i="8"/>
  <c r="BL123" i="1"/>
  <c r="H45" i="8"/>
  <c r="AN160" i="1"/>
  <c r="BM160" i="1" s="1"/>
  <c r="C19" i="8"/>
  <c r="C33" i="8" s="1"/>
  <c r="C41" i="8" s="1"/>
  <c r="C45" i="8" s="1"/>
  <c r="D45" i="8"/>
  <c r="I45" i="8"/>
  <c r="K45" i="8"/>
  <c r="E37" i="8"/>
  <c r="D37" i="8"/>
  <c r="AN151" i="1"/>
  <c r="BN151" i="1" s="1"/>
  <c r="AN147" i="1"/>
  <c r="BM147" i="1" s="1"/>
  <c r="AN141" i="1"/>
  <c r="BK141" i="1" s="1"/>
  <c r="BR50" i="1"/>
  <c r="BL124" i="1"/>
  <c r="K37" i="8"/>
  <c r="I37" i="8"/>
  <c r="BM124" i="1"/>
  <c r="BK124" i="1"/>
  <c r="BR106" i="1"/>
  <c r="F37" i="8"/>
  <c r="BH55" i="1"/>
  <c r="AN134" i="1"/>
  <c r="BK134" i="1" s="1"/>
  <c r="BR165" i="1"/>
  <c r="BM98" i="1"/>
  <c r="BC166" i="1"/>
  <c r="BO98" i="1"/>
  <c r="BN98" i="1"/>
  <c r="BL98" i="1"/>
  <c r="Q7" i="8"/>
  <c r="Q3" i="8"/>
  <c r="U9" i="8"/>
  <c r="AD12" i="8"/>
  <c r="AD21" i="8"/>
  <c r="AD22" i="8" s="1"/>
  <c r="AD34" i="8" s="1"/>
  <c r="AD42" i="8" s="1"/>
  <c r="AD9" i="8"/>
  <c r="R4" i="8"/>
  <c r="R5" i="8"/>
  <c r="R12" i="8"/>
  <c r="AD17" i="8"/>
  <c r="R9" i="8"/>
  <c r="AD30" i="8"/>
  <c r="AD36" i="8" s="1"/>
  <c r="AD44" i="8" s="1"/>
  <c r="R17" i="8"/>
  <c r="AD6" i="8"/>
  <c r="AD7" i="8"/>
  <c r="AD3" i="8"/>
  <c r="AD16" i="8"/>
  <c r="AD10" i="8"/>
  <c r="AD13" i="8"/>
  <c r="R3" i="8"/>
  <c r="R16" i="8"/>
  <c r="R25" i="8"/>
  <c r="R26" i="8"/>
  <c r="R27" i="8"/>
  <c r="R10" i="8"/>
  <c r="R13" i="8"/>
  <c r="R11" i="8"/>
  <c r="R21" i="8"/>
  <c r="R22" i="8" s="1"/>
  <c r="R34" i="8" s="1"/>
  <c r="R42" i="8" s="1"/>
  <c r="AD11" i="8"/>
  <c r="AD25" i="8"/>
  <c r="AD26" i="8"/>
  <c r="AD27" i="8"/>
  <c r="R6" i="8"/>
  <c r="R24" i="8"/>
  <c r="AD4" i="8"/>
  <c r="AD5" i="8"/>
  <c r="AD24" i="8"/>
  <c r="R8" i="8"/>
  <c r="R30" i="8"/>
  <c r="R36" i="8" s="1"/>
  <c r="R44" i="8" s="1"/>
  <c r="R7" i="8"/>
  <c r="AD15" i="8"/>
  <c r="R15" i="8"/>
  <c r="AD8" i="8"/>
  <c r="AD14" i="8"/>
  <c r="R14" i="8"/>
  <c r="AN145" i="1"/>
  <c r="BM145" i="1" s="1"/>
  <c r="AN158" i="1"/>
  <c r="BK158" i="1" s="1"/>
  <c r="BR171" i="1"/>
  <c r="AN140" i="1"/>
  <c r="BK140" i="1" s="1"/>
  <c r="AN169" i="1"/>
  <c r="BM169" i="1" s="1"/>
  <c r="BM94" i="1"/>
  <c r="AN167" i="1"/>
  <c r="BL167" i="1" s="1"/>
  <c r="BE172" i="1"/>
  <c r="AN152" i="1"/>
  <c r="BK152" i="1" s="1"/>
  <c r="AN138" i="1"/>
  <c r="BK138" i="1" s="1"/>
  <c r="AN155" i="1"/>
  <c r="BK155" i="1" s="1"/>
  <c r="AN135" i="1"/>
  <c r="BK135" i="1" s="1"/>
  <c r="BC161" i="1"/>
  <c r="BB172" i="1"/>
  <c r="Y8" i="8"/>
  <c r="BN95" i="1"/>
  <c r="BL95" i="1"/>
  <c r="BM95" i="1"/>
  <c r="BR190" i="1"/>
  <c r="BR44" i="1"/>
  <c r="BR36" i="1"/>
  <c r="BR40" i="1"/>
  <c r="BR43" i="1"/>
  <c r="BR189" i="1"/>
  <c r="BH34" i="1"/>
  <c r="BH46" i="1"/>
  <c r="BR39" i="1"/>
  <c r="BR42" i="1"/>
  <c r="BR191" i="1"/>
  <c r="BK259" i="1"/>
  <c r="BN93" i="1"/>
  <c r="BL93" i="1"/>
  <c r="AN153" i="1"/>
  <c r="BM153" i="1" s="1"/>
  <c r="BM93" i="1"/>
  <c r="BO95" i="1"/>
  <c r="AN150" i="1"/>
  <c r="BK150" i="1" s="1"/>
  <c r="BM96" i="1"/>
  <c r="BL96" i="1"/>
  <c r="BN96" i="1"/>
  <c r="BO96" i="1"/>
  <c r="AX172" i="1"/>
  <c r="L15" i="8" s="1"/>
  <c r="BN92" i="1"/>
  <c r="BK93" i="1"/>
  <c r="BO92" i="1"/>
  <c r="BM92" i="1"/>
  <c r="BM30" i="1"/>
  <c r="BN97" i="1"/>
  <c r="BL97" i="1"/>
  <c r="BM97" i="1"/>
  <c r="BO97" i="1"/>
  <c r="BN94" i="1"/>
  <c r="BO94" i="1"/>
  <c r="BL94" i="1"/>
  <c r="N28" i="8"/>
  <c r="N35" i="8" s="1"/>
  <c r="N43" i="8" s="1"/>
  <c r="BK251" i="1"/>
  <c r="BG234" i="1"/>
  <c r="BL92" i="1"/>
  <c r="O28" i="8"/>
  <c r="O35" i="8" s="1"/>
  <c r="O43" i="8" s="1"/>
  <c r="BM34" i="1"/>
  <c r="BN30" i="1"/>
  <c r="BN34" i="1"/>
  <c r="BM228" i="1"/>
  <c r="M28" i="8"/>
  <c r="M35" i="8" s="1"/>
  <c r="M43" i="8" s="1"/>
  <c r="BK228" i="1"/>
  <c r="O19" i="8"/>
  <c r="O33" i="8" s="1"/>
  <c r="O41" i="8" s="1"/>
  <c r="P13" i="8"/>
  <c r="N13" i="8"/>
  <c r="N14" i="8"/>
  <c r="P14" i="8"/>
  <c r="M13" i="8"/>
  <c r="M15" i="8"/>
  <c r="N15" i="8"/>
  <c r="M14" i="8"/>
  <c r="L28" i="8"/>
  <c r="L35" i="8" s="1"/>
  <c r="L43" i="8" s="1"/>
  <c r="BK244" i="1"/>
  <c r="AB9" i="8"/>
  <c r="Q10" i="8"/>
  <c r="Q17" i="8"/>
  <c r="AC9" i="8"/>
  <c r="Q27" i="8"/>
  <c r="Q30" i="8"/>
  <c r="Q36" i="8" s="1"/>
  <c r="Q44" i="8" s="1"/>
  <c r="AC12" i="8"/>
  <c r="Q4" i="8"/>
  <c r="Q11" i="8"/>
  <c r="L13" i="8"/>
  <c r="Q24" i="8"/>
  <c r="Q16" i="8"/>
  <c r="Q26" i="8"/>
  <c r="L14" i="8"/>
  <c r="Y30" i="8"/>
  <c r="Y36" i="8" s="1"/>
  <c r="Y44" i="8" s="1"/>
  <c r="Q12" i="8"/>
  <c r="AA9" i="8"/>
  <c r="Q8" i="8"/>
  <c r="AB12" i="8"/>
  <c r="Q25" i="8"/>
  <c r="Q6" i="8"/>
  <c r="Q21" i="8"/>
  <c r="Q22" i="8" s="1"/>
  <c r="Q34" i="8" s="1"/>
  <c r="Q42" i="8" s="1"/>
  <c r="Q5" i="8"/>
  <c r="Y9" i="8"/>
  <c r="BK187" i="1"/>
  <c r="BO34" i="1"/>
  <c r="BK30" i="1"/>
  <c r="BK26" i="1"/>
  <c r="AN8" i="1"/>
  <c r="BL8" i="1"/>
  <c r="AN62" i="1"/>
  <c r="BK58" i="1"/>
  <c r="BK62" i="1" s="1"/>
  <c r="BM77" i="1"/>
  <c r="BK77" i="1"/>
  <c r="BL81" i="1"/>
  <c r="BK81" i="1"/>
  <c r="BL147" i="1"/>
  <c r="BK147" i="1"/>
  <c r="BM87" i="1"/>
  <c r="BK87" i="1"/>
  <c r="BL162" i="1"/>
  <c r="BK162" i="1"/>
  <c r="BL142" i="1"/>
  <c r="BK142" i="1"/>
  <c r="BM164" i="1"/>
  <c r="BK164" i="1"/>
  <c r="BL90" i="1"/>
  <c r="BK90" i="1"/>
  <c r="BO127" i="1"/>
  <c r="BK127" i="1"/>
  <c r="BO125" i="1"/>
  <c r="BK125" i="1"/>
  <c r="BN146" i="1"/>
  <c r="BK146" i="1"/>
  <c r="BO88" i="1"/>
  <c r="BK88" i="1"/>
  <c r="BO85" i="1"/>
  <c r="BK85" i="1"/>
  <c r="BN166" i="1"/>
  <c r="BK166" i="1"/>
  <c r="BO159" i="1"/>
  <c r="BK159" i="1"/>
  <c r="BO161" i="1"/>
  <c r="BK161" i="1"/>
  <c r="BN156" i="1"/>
  <c r="BK156" i="1"/>
  <c r="BO84" i="1"/>
  <c r="BK84" i="1"/>
  <c r="BL222" i="1"/>
  <c r="BR213" i="1"/>
  <c r="BR222" i="1" s="1"/>
  <c r="BL46" i="1"/>
  <c r="BL34" i="1"/>
  <c r="BL30" i="1"/>
  <c r="X45" i="8"/>
  <c r="X37" i="8"/>
  <c r="BH228" i="1"/>
  <c r="BL55" i="1"/>
  <c r="BO55" i="1"/>
  <c r="Y10" i="8"/>
  <c r="BG172" i="1"/>
  <c r="BH172" i="1"/>
  <c r="BG55" i="1"/>
  <c r="BO30" i="1"/>
  <c r="BN259" i="1"/>
  <c r="BM265" i="1"/>
  <c r="BN55" i="1"/>
  <c r="BH251" i="1"/>
  <c r="BL265" i="1"/>
  <c r="BH234" i="1"/>
  <c r="BH62" i="1"/>
  <c r="BH133" i="1"/>
  <c r="BH8" i="1"/>
  <c r="BG30" i="1"/>
  <c r="BO26" i="1"/>
  <c r="BL228" i="1"/>
  <c r="BG8" i="1"/>
  <c r="BM55" i="1"/>
  <c r="BH212" i="1"/>
  <c r="BH244" i="1"/>
  <c r="BC133" i="1"/>
  <c r="BH121" i="1"/>
  <c r="BH73" i="1"/>
  <c r="BG259" i="1"/>
  <c r="BG73" i="1"/>
  <c r="BL26" i="1"/>
  <c r="BN26" i="1"/>
  <c r="BN265" i="1"/>
  <c r="BN234" i="1"/>
  <c r="BM259" i="1"/>
  <c r="BO259" i="1"/>
  <c r="BM212" i="1"/>
  <c r="BG265" i="1"/>
  <c r="BM26" i="1"/>
  <c r="BN187" i="1"/>
  <c r="BO265" i="1"/>
  <c r="BO234" i="1"/>
  <c r="BL244" i="1"/>
  <c r="BG187" i="1"/>
  <c r="BG121" i="1"/>
  <c r="BG62" i="1"/>
  <c r="BG26" i="1"/>
  <c r="BH18" i="1"/>
  <c r="AN121" i="1"/>
  <c r="Y24" i="8"/>
  <c r="BO228" i="1"/>
  <c r="BO18" i="1"/>
  <c r="BO251" i="1"/>
  <c r="BM244" i="1"/>
  <c r="BM12" i="1"/>
  <c r="BO187" i="1"/>
  <c r="BG34" i="1"/>
  <c r="BH187" i="1"/>
  <c r="BG244" i="1"/>
  <c r="BM234" i="1"/>
  <c r="BN244" i="1"/>
  <c r="BN228" i="1"/>
  <c r="BN212" i="1"/>
  <c r="BN251" i="1"/>
  <c r="AN133" i="1"/>
  <c r="BG212" i="1"/>
  <c r="BG133" i="1"/>
  <c r="BH259" i="1"/>
  <c r="BL234" i="1"/>
  <c r="BL73" i="1"/>
  <c r="BM187" i="1"/>
  <c r="BO244" i="1"/>
  <c r="BO212" i="1"/>
  <c r="BL18" i="1"/>
  <c r="BL12" i="1"/>
  <c r="BM251" i="1"/>
  <c r="BN18" i="1"/>
  <c r="BG228" i="1"/>
  <c r="BH26" i="1"/>
  <c r="BG18" i="1"/>
  <c r="BM73" i="1"/>
  <c r="BL187" i="1"/>
  <c r="BO12" i="1"/>
  <c r="BM18" i="1"/>
  <c r="BK18" i="1"/>
  <c r="BL251" i="1"/>
  <c r="BH265" i="1"/>
  <c r="BH12" i="1"/>
  <c r="BC121" i="1"/>
  <c r="BN12" i="1"/>
  <c r="Y17" i="8"/>
  <c r="BK12" i="1"/>
  <c r="BL259" i="1"/>
  <c r="BG12" i="1"/>
  <c r="BG251" i="1"/>
  <c r="BH30" i="1"/>
  <c r="BL212" i="1"/>
  <c r="BR245" i="1"/>
  <c r="BL161" i="1"/>
  <c r="BR32" i="1"/>
  <c r="BR246" i="1"/>
  <c r="BM88" i="1"/>
  <c r="BR102" i="1"/>
  <c r="BL79" i="1"/>
  <c r="BR188" i="1"/>
  <c r="BM85" i="1"/>
  <c r="BL85" i="1"/>
  <c r="BM79" i="1"/>
  <c r="BL87" i="1"/>
  <c r="BL166" i="1"/>
  <c r="BR111" i="1"/>
  <c r="BL84" i="1"/>
  <c r="BL157" i="1"/>
  <c r="BM84" i="1"/>
  <c r="BM161" i="1"/>
  <c r="BL88" i="1"/>
  <c r="BL143" i="1"/>
  <c r="BM142" i="1"/>
  <c r="BR242" i="1"/>
  <c r="BL164" i="1"/>
  <c r="BL125" i="1"/>
  <c r="BM166" i="1"/>
  <c r="BN84" i="1"/>
  <c r="BR56" i="1"/>
  <c r="BR103" i="1"/>
  <c r="BR57" i="1"/>
  <c r="BN161" i="1"/>
  <c r="BL159" i="1"/>
  <c r="BL86" i="1"/>
  <c r="BM143" i="1"/>
  <c r="BM146" i="1"/>
  <c r="BM159" i="1"/>
  <c r="BL146" i="1"/>
  <c r="BO166" i="1"/>
  <c r="BM157" i="1"/>
  <c r="BN86" i="1"/>
  <c r="BR223" i="1"/>
  <c r="BR240" i="1"/>
  <c r="BR116" i="1"/>
  <c r="BM156" i="1"/>
  <c r="BL156" i="1"/>
  <c r="BM154" i="1"/>
  <c r="BR60" i="1"/>
  <c r="BR174" i="1"/>
  <c r="BL154" i="1"/>
  <c r="BR253" i="1"/>
  <c r="BR229" i="1"/>
  <c r="BR175" i="1"/>
  <c r="BL127" i="1"/>
  <c r="BR192" i="1"/>
  <c r="BM127" i="1"/>
  <c r="BN127" i="1"/>
  <c r="BN159" i="1"/>
  <c r="BR31" i="1"/>
  <c r="BR130" i="1"/>
  <c r="BO156" i="1"/>
  <c r="BR239" i="1"/>
  <c r="BR9" i="1"/>
  <c r="BR122" i="1"/>
  <c r="BO146" i="1"/>
  <c r="BR115" i="1"/>
  <c r="BM81" i="1"/>
  <c r="BR224" i="1"/>
  <c r="BR100" i="1"/>
  <c r="BM86" i="1"/>
  <c r="BR112" i="1"/>
  <c r="BR255" i="1"/>
  <c r="BO86" i="1"/>
  <c r="BR185" i="1"/>
  <c r="BM125" i="1"/>
  <c r="BM78" i="1"/>
  <c r="BM162" i="1"/>
  <c r="BL78" i="1"/>
  <c r="BR199" i="1"/>
  <c r="BR13" i="1"/>
  <c r="BR99" i="1"/>
  <c r="BR241" i="1"/>
  <c r="BL77" i="1"/>
  <c r="BR183" i="1"/>
  <c r="BN125" i="1"/>
  <c r="BN85" i="1"/>
  <c r="BR15" i="1"/>
  <c r="BR10" i="1"/>
  <c r="BR104" i="1"/>
  <c r="BR129" i="1"/>
  <c r="BR180" i="1"/>
  <c r="BR231" i="1"/>
  <c r="BR176" i="1"/>
  <c r="BR254" i="1"/>
  <c r="BR117" i="1"/>
  <c r="BM90" i="1"/>
  <c r="BR110" i="1"/>
  <c r="BR261" i="1"/>
  <c r="BR109" i="1"/>
  <c r="BR38" i="1"/>
  <c r="BR107" i="1"/>
  <c r="BR67" i="1"/>
  <c r="BR20" i="1"/>
  <c r="BR249" i="1"/>
  <c r="BR69" i="1"/>
  <c r="BR28" i="1"/>
  <c r="BR24" i="1"/>
  <c r="BN88" i="1"/>
  <c r="BR119" i="1"/>
  <c r="BR198" i="1"/>
  <c r="BR248" i="1"/>
  <c r="BR230" i="1"/>
  <c r="BR14" i="1"/>
  <c r="BR48" i="1"/>
  <c r="BR71" i="1"/>
  <c r="BR66" i="1"/>
  <c r="BR105" i="1"/>
  <c r="BR114" i="1"/>
  <c r="BR235" i="1"/>
  <c r="BR184" i="1"/>
  <c r="BR70" i="1"/>
  <c r="BR22" i="1"/>
  <c r="BR113" i="1"/>
  <c r="BR6" i="1"/>
  <c r="BR237" i="1"/>
  <c r="BR177" i="1"/>
  <c r="BR49" i="1"/>
  <c r="BR182" i="1"/>
  <c r="BR178" i="1"/>
  <c r="BR68" i="1"/>
  <c r="BR101" i="1"/>
  <c r="BR179" i="1"/>
  <c r="BR181" i="1"/>
  <c r="BR262" i="1"/>
  <c r="BR238" i="1"/>
  <c r="BR193" i="1"/>
  <c r="BR5" i="1"/>
  <c r="BR108" i="1"/>
  <c r="BR252" i="1"/>
  <c r="BR63" i="1"/>
  <c r="BR194" i="1"/>
  <c r="BR16" i="1"/>
  <c r="BR118" i="1"/>
  <c r="BR131" i="1"/>
  <c r="BR260" i="1"/>
  <c r="BR65" i="1"/>
  <c r="BR64" i="1"/>
  <c r="BR23" i="1"/>
  <c r="BR47" i="1"/>
  <c r="BR225" i="1"/>
  <c r="BR19" i="1"/>
  <c r="BR123" i="1"/>
  <c r="BR263" i="1"/>
  <c r="BR27" i="1"/>
  <c r="BR232" i="1"/>
  <c r="BR4" i="1"/>
  <c r="BR128" i="1"/>
  <c r="BR59" i="1"/>
  <c r="BO134" i="1"/>
  <c r="BN134" i="1"/>
  <c r="BN126" i="1"/>
  <c r="BO126" i="1"/>
  <c r="BO149" i="1"/>
  <c r="BN149" i="1"/>
  <c r="BO148" i="1"/>
  <c r="BN148" i="1"/>
  <c r="BO81" i="1"/>
  <c r="BN81" i="1"/>
  <c r="BN79" i="1"/>
  <c r="BO79" i="1"/>
  <c r="BO144" i="1"/>
  <c r="BN144" i="1"/>
  <c r="BO168" i="1"/>
  <c r="BN168" i="1"/>
  <c r="BO83" i="1"/>
  <c r="BN83" i="1"/>
  <c r="BR236" i="1"/>
  <c r="BO163" i="1"/>
  <c r="BN163" i="1"/>
  <c r="BO158" i="1"/>
  <c r="BN158" i="1"/>
  <c r="BO58" i="1"/>
  <c r="BO62" i="1" s="1"/>
  <c r="BN58" i="1"/>
  <c r="BN62" i="1" s="1"/>
  <c r="BO80" i="1"/>
  <c r="BN80" i="1"/>
  <c r="BN170" i="1"/>
  <c r="BO170" i="1"/>
  <c r="BO75" i="1"/>
  <c r="BN75" i="1"/>
  <c r="BO136" i="1"/>
  <c r="BN136" i="1"/>
  <c r="BO78" i="1"/>
  <c r="BN78" i="1"/>
  <c r="BO143" i="1"/>
  <c r="BN143" i="1"/>
  <c r="BO76" i="1"/>
  <c r="BN76" i="1"/>
  <c r="BO89" i="1"/>
  <c r="BN89" i="1"/>
  <c r="BN74" i="1"/>
  <c r="BO74" i="1"/>
  <c r="BM134" i="1"/>
  <c r="BO77" i="1"/>
  <c r="BN77" i="1"/>
  <c r="BO8" i="1"/>
  <c r="BN8" i="1"/>
  <c r="BR256" i="1"/>
  <c r="BO139" i="1"/>
  <c r="BN139" i="1"/>
  <c r="BL134" i="1"/>
  <c r="BO157" i="1"/>
  <c r="BN157" i="1"/>
  <c r="BN87" i="1"/>
  <c r="BO87" i="1"/>
  <c r="BO142" i="1"/>
  <c r="BN142" i="1"/>
  <c r="BN154" i="1"/>
  <c r="BO154" i="1"/>
  <c r="BO82" i="1"/>
  <c r="BN82" i="1"/>
  <c r="BO91" i="1"/>
  <c r="BN91" i="1"/>
  <c r="BO162" i="1"/>
  <c r="BN162" i="1"/>
  <c r="BO164" i="1"/>
  <c r="BN164" i="1"/>
  <c r="BO160" i="1"/>
  <c r="BN160" i="1"/>
  <c r="BO90" i="1"/>
  <c r="BN90" i="1"/>
  <c r="BL91" i="1"/>
  <c r="BM91" i="1"/>
  <c r="BL76" i="1"/>
  <c r="BM76" i="1"/>
  <c r="BM82" i="1"/>
  <c r="BL82" i="1"/>
  <c r="BM83" i="1"/>
  <c r="BL83" i="1"/>
  <c r="BM126" i="1"/>
  <c r="BL126" i="1"/>
  <c r="BL149" i="1"/>
  <c r="BM149" i="1"/>
  <c r="BL148" i="1"/>
  <c r="BM148" i="1"/>
  <c r="BL144" i="1"/>
  <c r="BM144" i="1"/>
  <c r="BL168" i="1"/>
  <c r="BM168" i="1"/>
  <c r="BL163" i="1"/>
  <c r="BM163" i="1"/>
  <c r="BM158" i="1"/>
  <c r="BL158" i="1"/>
  <c r="BL58" i="1"/>
  <c r="BL62" i="1" s="1"/>
  <c r="BM58" i="1"/>
  <c r="BM62" i="1" s="1"/>
  <c r="BL80" i="1"/>
  <c r="BM80" i="1"/>
  <c r="BM170" i="1"/>
  <c r="BL170" i="1"/>
  <c r="BL75" i="1"/>
  <c r="BM75" i="1"/>
  <c r="BM136" i="1"/>
  <c r="BL136" i="1"/>
  <c r="BL89" i="1"/>
  <c r="BM89" i="1"/>
  <c r="BL74" i="1"/>
  <c r="BM74" i="1"/>
  <c r="BM8" i="1"/>
  <c r="BM139" i="1"/>
  <c r="BL139" i="1"/>
  <c r="BM138" i="1"/>
  <c r="BN167" i="1" l="1"/>
  <c r="BM167" i="1"/>
  <c r="BL141" i="1"/>
  <c r="BN147" i="1"/>
  <c r="BM141" i="1"/>
  <c r="BO147" i="1"/>
  <c r="BL160" i="1"/>
  <c r="BN141" i="1"/>
  <c r="BR141" i="1" s="1"/>
  <c r="BO141" i="1"/>
  <c r="BK160" i="1"/>
  <c r="BK151" i="1"/>
  <c r="BM151" i="1"/>
  <c r="BL151" i="1"/>
  <c r="BO151" i="1"/>
  <c r="BO167" i="1"/>
  <c r="C37" i="8"/>
  <c r="BK167" i="1"/>
  <c r="BR124" i="1"/>
  <c r="R19" i="8"/>
  <c r="R33" i="8" s="1"/>
  <c r="R41" i="8" s="1"/>
  <c r="BL152" i="1"/>
  <c r="R28" i="8"/>
  <c r="R35" i="8" s="1"/>
  <c r="R43" i="8" s="1"/>
  <c r="BC172" i="1"/>
  <c r="AD19" i="8"/>
  <c r="AD33" i="8" s="1"/>
  <c r="AD41" i="8" s="1"/>
  <c r="V10" i="8"/>
  <c r="BN155" i="1"/>
  <c r="AD28" i="8"/>
  <c r="AD35" i="8" s="1"/>
  <c r="AD43" i="8" s="1"/>
  <c r="BO155" i="1"/>
  <c r="BL155" i="1"/>
  <c r="BL145" i="1"/>
  <c r="BO145" i="1"/>
  <c r="BK145" i="1"/>
  <c r="BN145" i="1"/>
  <c r="BM155" i="1"/>
  <c r="BR98" i="1"/>
  <c r="BL135" i="1"/>
  <c r="BN135" i="1"/>
  <c r="BM135" i="1"/>
  <c r="BO135" i="1"/>
  <c r="BO152" i="1"/>
  <c r="BM152" i="1"/>
  <c r="BN152" i="1"/>
  <c r="V7" i="8"/>
  <c r="U26" i="8"/>
  <c r="U4" i="8"/>
  <c r="V4" i="8"/>
  <c r="V30" i="8"/>
  <c r="V36" i="8" s="1"/>
  <c r="V44" i="8" s="1"/>
  <c r="U5" i="8"/>
  <c r="V6" i="8"/>
  <c r="U21" i="8"/>
  <c r="U22" i="8" s="1"/>
  <c r="U34" i="8" s="1"/>
  <c r="U42" i="8" s="1"/>
  <c r="V27" i="8"/>
  <c r="U17" i="8"/>
  <c r="U25" i="8"/>
  <c r="V16" i="8"/>
  <c r="U8" i="8"/>
  <c r="V5" i="8"/>
  <c r="U6" i="8"/>
  <c r="U11" i="8"/>
  <c r="U13" i="8"/>
  <c r="U16" i="8"/>
  <c r="U30" i="8"/>
  <c r="U36" i="8" s="1"/>
  <c r="U44" i="8" s="1"/>
  <c r="U12" i="8"/>
  <c r="U27" i="8"/>
  <c r="V12" i="8"/>
  <c r="V13" i="8"/>
  <c r="V25" i="8"/>
  <c r="V17" i="8"/>
  <c r="U3" i="8"/>
  <c r="U7" i="8"/>
  <c r="V3" i="8"/>
  <c r="V11" i="8"/>
  <c r="V24" i="8"/>
  <c r="V26" i="8"/>
  <c r="U10" i="8"/>
  <c r="V15" i="8"/>
  <c r="U15" i="8"/>
  <c r="V21" i="8"/>
  <c r="V22" i="8" s="1"/>
  <c r="V34" i="8" s="1"/>
  <c r="V42" i="8" s="1"/>
  <c r="Y21" i="8"/>
  <c r="Y22" i="8" s="1"/>
  <c r="Y34" i="8" s="1"/>
  <c r="Y42" i="8" s="1"/>
  <c r="AA21" i="8"/>
  <c r="AA22" i="8" s="1"/>
  <c r="AA34" i="8" s="1"/>
  <c r="AA42" i="8" s="1"/>
  <c r="AB7" i="8"/>
  <c r="AA8" i="8"/>
  <c r="U24" i="8"/>
  <c r="AA7" i="8"/>
  <c r="V9" i="8"/>
  <c r="V8" i="8"/>
  <c r="S15" i="8"/>
  <c r="S19" i="8" s="1"/>
  <c r="S33" i="8" s="1"/>
  <c r="S41" i="8" s="1"/>
  <c r="S45" i="8" s="1"/>
  <c r="U14" i="8"/>
  <c r="V14" i="8"/>
  <c r="BK169" i="1"/>
  <c r="BM140" i="1"/>
  <c r="BO169" i="1"/>
  <c r="BO140" i="1"/>
  <c r="BL169" i="1"/>
  <c r="BL140" i="1"/>
  <c r="BO138" i="1"/>
  <c r="BN169" i="1"/>
  <c r="BN140" i="1"/>
  <c r="BN138" i="1"/>
  <c r="BL138" i="1"/>
  <c r="BR96" i="1"/>
  <c r="BN150" i="1"/>
  <c r="BO150" i="1"/>
  <c r="BL150" i="1"/>
  <c r="BM150" i="1"/>
  <c r="BO153" i="1"/>
  <c r="BN153" i="1"/>
  <c r="BK153" i="1"/>
  <c r="BL153" i="1"/>
  <c r="P15" i="8"/>
  <c r="P19" i="8" s="1"/>
  <c r="P33" i="8" s="1"/>
  <c r="P41" i="8" s="1"/>
  <c r="BR95" i="1"/>
  <c r="Y27" i="8"/>
  <c r="BR93" i="1"/>
  <c r="BR46" i="1"/>
  <c r="AN172" i="1"/>
  <c r="BR97" i="1"/>
  <c r="BR92" i="1"/>
  <c r="Y26" i="8"/>
  <c r="BR94" i="1"/>
  <c r="BR34" i="1"/>
  <c r="O45" i="8"/>
  <c r="O37" i="8"/>
  <c r="M19" i="8"/>
  <c r="M33" i="8" s="1"/>
  <c r="M41" i="8" s="1"/>
  <c r="N19" i="8"/>
  <c r="N33" i="8" s="1"/>
  <c r="N41" i="8" s="1"/>
  <c r="AB8" i="8"/>
  <c r="Y16" i="8"/>
  <c r="Y25" i="8"/>
  <c r="L19" i="8"/>
  <c r="L33" i="8" s="1"/>
  <c r="L41" i="8" s="1"/>
  <c r="BK8" i="1"/>
  <c r="BR8" i="1"/>
  <c r="Q28" i="8"/>
  <c r="Q35" i="8" s="1"/>
  <c r="Q43" i="8" s="1"/>
  <c r="AB21" i="8"/>
  <c r="AB22" i="8" s="1"/>
  <c r="AB34" i="8" s="1"/>
  <c r="AB42" i="8" s="1"/>
  <c r="Z6" i="8"/>
  <c r="Z27" i="8"/>
  <c r="AB25" i="8"/>
  <c r="AC16" i="8"/>
  <c r="AA6" i="8"/>
  <c r="AB24" i="8"/>
  <c r="AB27" i="8"/>
  <c r="Z18" i="8"/>
  <c r="AF18" i="8" s="1"/>
  <c r="AC8" i="8"/>
  <c r="Z5" i="8"/>
  <c r="AC6" i="8"/>
  <c r="AC17" i="8"/>
  <c r="AA4" i="8"/>
  <c r="AB30" i="8"/>
  <c r="AB36" i="8" s="1"/>
  <c r="AB44" i="8" s="1"/>
  <c r="AA10" i="8"/>
  <c r="Y7" i="8"/>
  <c r="AC21" i="8"/>
  <c r="AC22" i="8" s="1"/>
  <c r="AC34" i="8" s="1"/>
  <c r="AC42" i="8" s="1"/>
  <c r="AA3" i="8"/>
  <c r="Z17" i="8"/>
  <c r="Y4" i="8"/>
  <c r="AC4" i="8"/>
  <c r="AA24" i="8"/>
  <c r="AA25" i="8"/>
  <c r="Z30" i="8"/>
  <c r="Z36" i="8" s="1"/>
  <c r="Z44" i="8" s="1"/>
  <c r="Z3" i="8"/>
  <c r="AA27" i="8"/>
  <c r="Y11" i="8"/>
  <c r="AB3" i="8"/>
  <c r="AB5" i="8"/>
  <c r="AC25" i="8"/>
  <c r="AC26" i="8"/>
  <c r="Z25" i="8"/>
  <c r="Z7" i="8"/>
  <c r="AA5" i="8"/>
  <c r="AA11" i="8"/>
  <c r="AC3" i="8"/>
  <c r="Z26" i="8"/>
  <c r="AA26" i="8"/>
  <c r="AA16" i="8"/>
  <c r="AB26" i="8"/>
  <c r="AC24" i="8"/>
  <c r="AA17" i="8"/>
  <c r="Z21" i="8"/>
  <c r="Z22" i="8" s="1"/>
  <c r="Z34" i="8" s="1"/>
  <c r="Z42" i="8" s="1"/>
  <c r="AC7" i="8"/>
  <c r="AC10" i="8"/>
  <c r="Z8" i="8"/>
  <c r="Y6" i="8"/>
  <c r="Z11" i="8"/>
  <c r="AB11" i="8"/>
  <c r="AB4" i="8"/>
  <c r="Z16" i="8"/>
  <c r="Z4" i="8"/>
  <c r="Z12" i="8"/>
  <c r="AC5" i="8"/>
  <c r="AC30" i="8"/>
  <c r="AC36" i="8" s="1"/>
  <c r="AC44" i="8" s="1"/>
  <c r="AC27" i="8"/>
  <c r="AB6" i="8"/>
  <c r="AB10" i="8"/>
  <c r="Z10" i="8"/>
  <c r="Z9" i="8"/>
  <c r="AC11" i="8"/>
  <c r="Q13" i="8"/>
  <c r="Y5" i="8"/>
  <c r="AA12" i="8"/>
  <c r="Z24" i="8"/>
  <c r="AB17" i="8"/>
  <c r="AB16" i="8"/>
  <c r="Q14" i="8"/>
  <c r="AA30" i="8"/>
  <c r="AA36" i="8" s="1"/>
  <c r="AA44" i="8" s="1"/>
  <c r="BO133" i="1"/>
  <c r="BK133" i="1"/>
  <c r="BK121" i="1"/>
  <c r="BR30" i="1"/>
  <c r="BR12" i="1"/>
  <c r="BR55" i="1"/>
  <c r="BN133" i="1"/>
  <c r="BR265" i="1"/>
  <c r="BM133" i="1"/>
  <c r="BL133" i="1"/>
  <c r="BM121" i="1"/>
  <c r="BN121" i="1"/>
  <c r="BR259" i="1"/>
  <c r="BL121" i="1"/>
  <c r="BR228" i="1"/>
  <c r="BR251" i="1"/>
  <c r="BR18" i="1"/>
  <c r="BR26" i="1"/>
  <c r="BR187" i="1"/>
  <c r="BO121" i="1"/>
  <c r="BR73" i="1"/>
  <c r="BR244" i="1"/>
  <c r="BR234" i="1"/>
  <c r="BR212" i="1"/>
  <c r="BR88" i="1"/>
  <c r="BR85" i="1"/>
  <c r="BR84" i="1"/>
  <c r="BR166" i="1"/>
  <c r="BR161" i="1"/>
  <c r="BR156" i="1"/>
  <c r="BR146" i="1"/>
  <c r="BR159" i="1"/>
  <c r="BR127" i="1"/>
  <c r="BR77" i="1"/>
  <c r="BR86" i="1"/>
  <c r="BR125" i="1"/>
  <c r="BR75" i="1"/>
  <c r="BR144" i="1"/>
  <c r="BR136" i="1"/>
  <c r="BR143" i="1"/>
  <c r="BR158" i="1"/>
  <c r="BR90" i="1"/>
  <c r="BR87" i="1"/>
  <c r="BR139" i="1"/>
  <c r="BR58" i="1"/>
  <c r="BR62" i="1" s="1"/>
  <c r="BR148" i="1"/>
  <c r="BR162" i="1"/>
  <c r="BR157" i="1"/>
  <c r="BR79" i="1"/>
  <c r="BR164" i="1"/>
  <c r="BR142" i="1"/>
  <c r="BR78" i="1"/>
  <c r="BR170" i="1"/>
  <c r="BR82" i="1"/>
  <c r="BR89" i="1"/>
  <c r="BR168" i="1"/>
  <c r="BR83" i="1"/>
  <c r="BR74" i="1"/>
  <c r="BR163" i="1"/>
  <c r="BR126" i="1"/>
  <c r="BR91" i="1"/>
  <c r="BR160" i="1"/>
  <c r="BR134" i="1"/>
  <c r="BR80" i="1"/>
  <c r="BR81" i="1"/>
  <c r="BR76" i="1"/>
  <c r="BR154" i="1"/>
  <c r="BR147" i="1"/>
  <c r="BR149" i="1"/>
  <c r="BR167" i="1" l="1"/>
  <c r="BR151" i="1"/>
  <c r="R37" i="8"/>
  <c r="AD45" i="8"/>
  <c r="R45" i="8"/>
  <c r="U28" i="8"/>
  <c r="U35" i="8" s="1"/>
  <c r="U43" i="8" s="1"/>
  <c r="V19" i="8"/>
  <c r="V33" i="8" s="1"/>
  <c r="V41" i="8" s="1"/>
  <c r="Q15" i="8"/>
  <c r="Q19" i="8" s="1"/>
  <c r="Q33" i="8" s="1"/>
  <c r="Q41" i="8" s="1"/>
  <c r="AD37" i="8"/>
  <c r="BK172" i="1"/>
  <c r="BR145" i="1"/>
  <c r="BR155" i="1"/>
  <c r="BR135" i="1"/>
  <c r="BR152" i="1"/>
  <c r="V28" i="8"/>
  <c r="V35" i="8" s="1"/>
  <c r="V43" i="8" s="1"/>
  <c r="S37" i="8"/>
  <c r="BR169" i="1"/>
  <c r="BR140" i="1"/>
  <c r="BR138" i="1"/>
  <c r="AF9" i="8"/>
  <c r="Y3" i="8"/>
  <c r="AF3" i="8" s="1"/>
  <c r="U19" i="8"/>
  <c r="U33" i="8" s="1"/>
  <c r="U41" i="8" s="1"/>
  <c r="BR153" i="1"/>
  <c r="BN172" i="1"/>
  <c r="BR150" i="1"/>
  <c r="BL172" i="1"/>
  <c r="BO172" i="1"/>
  <c r="AC15" i="8" s="1"/>
  <c r="BM172" i="1"/>
  <c r="Y28" i="8"/>
  <c r="Y35" i="8" s="1"/>
  <c r="Y43" i="8" s="1"/>
  <c r="P37" i="8"/>
  <c r="P45" i="8"/>
  <c r="N37" i="8"/>
  <c r="N45" i="8"/>
  <c r="M37" i="8"/>
  <c r="M45" i="8"/>
  <c r="AF12" i="8"/>
  <c r="AF26" i="8"/>
  <c r="AF10" i="8"/>
  <c r="AF27" i="8"/>
  <c r="AF8" i="8"/>
  <c r="AF24" i="8"/>
  <c r="AB28" i="8"/>
  <c r="AB35" i="8" s="1"/>
  <c r="AB43" i="8" s="1"/>
  <c r="AF6" i="8"/>
  <c r="AF25" i="8"/>
  <c r="AF16" i="8"/>
  <c r="AF30" i="8"/>
  <c r="AF36" i="8" s="1"/>
  <c r="AF5" i="8"/>
  <c r="AF11" i="8"/>
  <c r="AF17" i="8"/>
  <c r="AF7" i="8"/>
  <c r="AF4" i="8"/>
  <c r="AC28" i="8"/>
  <c r="AC35" i="8" s="1"/>
  <c r="AC43" i="8" s="1"/>
  <c r="AA28" i="8"/>
  <c r="AA35" i="8" s="1"/>
  <c r="AA43" i="8" s="1"/>
  <c r="L45" i="8"/>
  <c r="L37" i="8"/>
  <c r="AC13" i="8"/>
  <c r="AA14" i="8"/>
  <c r="Y13" i="8"/>
  <c r="Z14" i="8"/>
  <c r="AF21" i="8"/>
  <c r="AF22" i="8" s="1"/>
  <c r="AF34" i="8" s="1"/>
  <c r="Y14" i="8"/>
  <c r="Z13" i="8"/>
  <c r="AB14" i="8"/>
  <c r="AF42" i="8"/>
  <c r="AC14" i="8"/>
  <c r="Z28" i="8"/>
  <c r="Z35" i="8" s="1"/>
  <c r="Z43" i="8" s="1"/>
  <c r="AB13" i="8"/>
  <c r="AA13" i="8"/>
  <c r="AF44" i="8"/>
  <c r="BR133" i="1"/>
  <c r="BR121" i="1"/>
  <c r="AA15" i="8" l="1"/>
  <c r="AA19" i="8" s="1"/>
  <c r="AA33" i="8" s="1"/>
  <c r="AA41" i="8" s="1"/>
  <c r="Y15" i="8"/>
  <c r="V45" i="8"/>
  <c r="V37" i="8"/>
  <c r="BR172" i="1"/>
  <c r="Z15" i="8"/>
  <c r="Z19" i="8" s="1"/>
  <c r="Z33" i="8" s="1"/>
  <c r="Z41" i="8" s="1"/>
  <c r="U37" i="8"/>
  <c r="AB15" i="8"/>
  <c r="AB19" i="8" s="1"/>
  <c r="AB33" i="8" s="1"/>
  <c r="AB41" i="8" s="1"/>
  <c r="Q37" i="8"/>
  <c r="Q45" i="8"/>
  <c r="AF28" i="8"/>
  <c r="AF35" i="8" s="1"/>
  <c r="AC19" i="8"/>
  <c r="AC33" i="8" s="1"/>
  <c r="AC41" i="8" s="1"/>
  <c r="AF43" i="8"/>
  <c r="Y19" i="8"/>
  <c r="Y33" i="8" s="1"/>
  <c r="Y41" i="8" s="1"/>
  <c r="AF13" i="8"/>
  <c r="AF14" i="8"/>
  <c r="U45" i="8"/>
  <c r="AA37" i="8" l="1"/>
  <c r="AF15" i="8"/>
  <c r="AF19" i="8" s="1"/>
  <c r="AF33" i="8" s="1"/>
  <c r="AF37" i="8" s="1"/>
  <c r="AF41" i="8"/>
  <c r="AC45" i="8"/>
  <c r="AB37" i="8"/>
  <c r="AB45" i="8"/>
  <c r="Y45" i="8"/>
  <c r="Z45" i="8"/>
  <c r="AC37" i="8"/>
  <c r="Z37" i="8"/>
  <c r="Y37" i="8"/>
  <c r="AA45" i="8"/>
  <c r="AF45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<sst xmlns="http://schemas.openxmlformats.org/spreadsheetml/2006/main" count="4095" uniqueCount="613">
  <si>
    <t>FTE</t>
  </si>
  <si>
    <t>Last Name</t>
  </si>
  <si>
    <t>First Name</t>
  </si>
  <si>
    <t>Job Title</t>
  </si>
  <si>
    <t>Step Effective Date</t>
  </si>
  <si>
    <t>Percent</t>
  </si>
  <si>
    <t>FT</t>
  </si>
  <si>
    <t>GEN</t>
  </si>
  <si>
    <t>101</t>
  </si>
  <si>
    <t>10</t>
  </si>
  <si>
    <t>2607-01 - Executive Assistant - CMO</t>
  </si>
  <si>
    <t/>
  </si>
  <si>
    <t xml:space="preserve">                              </t>
  </si>
  <si>
    <t>Y</t>
  </si>
  <si>
    <t>DPPOE</t>
  </si>
  <si>
    <t>HDHPTHAE</t>
  </si>
  <si>
    <t>TXHE</t>
  </si>
  <si>
    <t>4401-01 - Chief Financial Officer</t>
  </si>
  <si>
    <t>DPPO2</t>
  </si>
  <si>
    <t>EPO COPAY E+FAM</t>
  </si>
  <si>
    <t>0032-06 - Asst to the City Manager</t>
  </si>
  <si>
    <t>12</t>
  </si>
  <si>
    <t>0026-01 - Assistant City Secretary</t>
  </si>
  <si>
    <t>0039-01 - City Secretary</t>
  </si>
  <si>
    <t>EPO COPAY EO</t>
  </si>
  <si>
    <t>DPPO1</t>
  </si>
  <si>
    <t>EPO COPAY E+SP</t>
  </si>
  <si>
    <t>20</t>
  </si>
  <si>
    <t>DHMO</t>
  </si>
  <si>
    <t>HDHPTHAE+FAM</t>
  </si>
  <si>
    <t>22</t>
  </si>
  <si>
    <t>0042-01 - Director of Human Resources</t>
  </si>
  <si>
    <t>HDHPEPOE</t>
  </si>
  <si>
    <t>2514-01 - Human Resources Generalist</t>
  </si>
  <si>
    <t>3207-02 - Human Resources Manager</t>
  </si>
  <si>
    <t>HDHPTHAE+CH</t>
  </si>
  <si>
    <t>TXHEC</t>
  </si>
  <si>
    <t>0027-14 - Benefits Coordinator</t>
  </si>
  <si>
    <t>39</t>
  </si>
  <si>
    <t>0033-01 - Facilities Maintenance Manager</t>
  </si>
  <si>
    <t>0026-03 - Facilities Maint Supervisor</t>
  </si>
  <si>
    <t>DHMO1</t>
  </si>
  <si>
    <t>0150-22 - Custodian</t>
  </si>
  <si>
    <t>THA COPAY EO</t>
  </si>
  <si>
    <t>0150-21 - Custodian</t>
  </si>
  <si>
    <t>0015-02 - Custodian</t>
  </si>
  <si>
    <t>35</t>
  </si>
  <si>
    <t>02</t>
  </si>
  <si>
    <t>0027-01 - Economic  Development Analyst</t>
  </si>
  <si>
    <t>W</t>
  </si>
  <si>
    <t>HDHPEPOE+CH</t>
  </si>
  <si>
    <t>N</t>
  </si>
  <si>
    <t>HDHPEPO+SP</t>
  </si>
  <si>
    <t>TXHES</t>
  </si>
  <si>
    <t>38</t>
  </si>
  <si>
    <t>0027-13 - Planner</t>
  </si>
  <si>
    <t>45</t>
  </si>
  <si>
    <t>HDHPTHAE+SP</t>
  </si>
  <si>
    <t>TXHF</t>
  </si>
  <si>
    <t>48</t>
  </si>
  <si>
    <t>1903-10 - Sr. Streets Maintenance Worker</t>
  </si>
  <si>
    <t>DHMO2</t>
  </si>
  <si>
    <t>0019-03 - Sr. Streets Maintenance Worker</t>
  </si>
  <si>
    <t>50</t>
  </si>
  <si>
    <t>16</t>
  </si>
  <si>
    <t>0022-17 - Senior Accounting Technician</t>
  </si>
  <si>
    <t>0034-01 - Strategic Services Manager</t>
  </si>
  <si>
    <t>0043-01 - Director of Finance</t>
  </si>
  <si>
    <t>3403-01 - Accounting Manager</t>
  </si>
  <si>
    <t>0027-04 - Financial Analyst</t>
  </si>
  <si>
    <t>PT</t>
  </si>
  <si>
    <t>55</t>
  </si>
  <si>
    <t>0036-01 - Police Support Services Manager</t>
  </si>
  <si>
    <t>2607-02 - Executive Assistant - Police</t>
  </si>
  <si>
    <t>POL</t>
  </si>
  <si>
    <t>PD4</t>
  </si>
  <si>
    <t>Police Sergeant</t>
  </si>
  <si>
    <t>5562-03 - Police Deputy Chief</t>
  </si>
  <si>
    <t>THA COPAY E+FAM</t>
  </si>
  <si>
    <t>PD2</t>
  </si>
  <si>
    <t>Police Officer</t>
  </si>
  <si>
    <t>THA COPAY E+CH</t>
  </si>
  <si>
    <t>0043-02 - Police Chief</t>
  </si>
  <si>
    <t>SP</t>
  </si>
  <si>
    <t>SEASONAL</t>
  </si>
  <si>
    <t>03</t>
  </si>
  <si>
    <t>0009-01 - School Crossing Guard</t>
  </si>
  <si>
    <t>PT 3.6</t>
  </si>
  <si>
    <t>0016-02 - Lead School Crossing Guard PT</t>
  </si>
  <si>
    <t>32</t>
  </si>
  <si>
    <t>0220-59 - Public Safety Dispatcher</t>
  </si>
  <si>
    <t>0020-05 - Property and Evidence Technician</t>
  </si>
  <si>
    <t>0024-07 - Crime Analyst</t>
  </si>
  <si>
    <t>0220-58 - Public Safety Dispatcher</t>
  </si>
  <si>
    <t>5511-03 - Police Recruit (Non Certified)</t>
  </si>
  <si>
    <t>2201-05 - Administrative Assistant-Police</t>
  </si>
  <si>
    <t>1802-01 - Police Records Technician</t>
  </si>
  <si>
    <t>0200-31 - Public Service Officer</t>
  </si>
  <si>
    <t>0027-07 - Police Support Svc Supervisor</t>
  </si>
  <si>
    <t>0018-02 - Police Records Technician</t>
  </si>
  <si>
    <t>5511-02 - Police Recruit (Non Certified)</t>
  </si>
  <si>
    <t>5532-04 - Police Corporal</t>
  </si>
  <si>
    <t>Police Corporal</t>
  </si>
  <si>
    <t>0020-03 - Public Service Officer</t>
  </si>
  <si>
    <t>5543-03 - Police Sergeant</t>
  </si>
  <si>
    <t>5543-02 - Police Sergeant</t>
  </si>
  <si>
    <t>5543-01 - Police Sergeant</t>
  </si>
  <si>
    <t>5511-04 - Police Recruit (Non Certified)</t>
  </si>
  <si>
    <t>5524-02 - Police Officer</t>
  </si>
  <si>
    <t>5511-06 - Police Recruit (Non Certified)</t>
  </si>
  <si>
    <t>5524-18 - Police Officer</t>
  </si>
  <si>
    <t>1802-02 - Police Records Technician</t>
  </si>
  <si>
    <t>5524-01 - Police Officer</t>
  </si>
  <si>
    <t>5532-01 - Police Corporal</t>
  </si>
  <si>
    <t>0028-02 - Dispatch Supervisor</t>
  </si>
  <si>
    <t>THA COPAY E+SP</t>
  </si>
  <si>
    <t>0220-56 - Public Safety Dispatcher</t>
  </si>
  <si>
    <t>5512-02 - Police Recruit (Certified)</t>
  </si>
  <si>
    <t>0220-55 - Public Safety Dispatcher</t>
  </si>
  <si>
    <t>0250-51 - Senior Crime Scene Technician</t>
  </si>
  <si>
    <t>0220-57 - Public Safety Dispatcher</t>
  </si>
  <si>
    <t>5512-03 - Police Recruit (Certified)</t>
  </si>
  <si>
    <t>0025-06 - Lead Public Safety Dispatcher</t>
  </si>
  <si>
    <t>0022-06 - Senior Police Records Technician</t>
  </si>
  <si>
    <t>0022-09 - Crime Scene Technician</t>
  </si>
  <si>
    <t>5524-45 - Police Officer</t>
  </si>
  <si>
    <t>HDHPEPOE+FAM</t>
  </si>
  <si>
    <t>0022-05 - Public Safety Dispatcher</t>
  </si>
  <si>
    <t>5545-02 - Police Lieutenant</t>
  </si>
  <si>
    <t>PD5</t>
  </si>
  <si>
    <t>Police Lieutenant</t>
  </si>
  <si>
    <t>0022-16 - Digital Media Evidence Tech</t>
  </si>
  <si>
    <t>5545-03 - Police Lieutenant</t>
  </si>
  <si>
    <t>5524-09 - Police Officer</t>
  </si>
  <si>
    <t>5545-01 - Police Lieutenant</t>
  </si>
  <si>
    <t>5524-08 - Police Officer</t>
  </si>
  <si>
    <t>5532-03 - Police Corporal</t>
  </si>
  <si>
    <t>5511-01 - Police Recruit (Non Certified)</t>
  </si>
  <si>
    <t>5524-03 - Police Officer</t>
  </si>
  <si>
    <t>5532-02 - Police Corporal</t>
  </si>
  <si>
    <t>60</t>
  </si>
  <si>
    <t>0033-09 - Emergency Management Officer PT</t>
  </si>
  <si>
    <t>0026-05 - Senior Administrative Assistant</t>
  </si>
  <si>
    <t>FA</t>
  </si>
  <si>
    <t>0060-63 - Fire Marshal</t>
  </si>
  <si>
    <t>0060-43 - Assistant Fire Marshal</t>
  </si>
  <si>
    <t>FD4</t>
  </si>
  <si>
    <t>Fire Lieutenant (Days)</t>
  </si>
  <si>
    <t>0025-07 - Fire Inspector Civilian</t>
  </si>
  <si>
    <t>0060-61 - Fire Deputy Chief - Emerg Ops</t>
  </si>
  <si>
    <t>2201-06 - Administrative Assistant-Fire</t>
  </si>
  <si>
    <t>6053-02 - Fire Division Chief - EMS</t>
  </si>
  <si>
    <t>FD5A</t>
  </si>
  <si>
    <t>Fire Division Chief (Days)</t>
  </si>
  <si>
    <t>6053-01 - Fire Division Chief-Train/Safet</t>
  </si>
  <si>
    <t>0043-03 - Fire Chief</t>
  </si>
  <si>
    <t>FS</t>
  </si>
  <si>
    <t>6012-06 - Firefighter/EMT (Shift)</t>
  </si>
  <si>
    <t>FS1</t>
  </si>
  <si>
    <t>Firefighter/EMT (Shift)</t>
  </si>
  <si>
    <t>6022-14 - Firefighter/Paramedic (Shift)</t>
  </si>
  <si>
    <t>FS2</t>
  </si>
  <si>
    <t>Firefighter/Paramedic (Shift)</t>
  </si>
  <si>
    <t>FS3</t>
  </si>
  <si>
    <t>Fire Engineer/Medical Ops(Shft)</t>
  </si>
  <si>
    <t>FS4</t>
  </si>
  <si>
    <t>Fire Lieutenant (Shift)</t>
  </si>
  <si>
    <t>6052-02 - Fire Battalion Chief (Shift)</t>
  </si>
  <si>
    <t>FS5</t>
  </si>
  <si>
    <t>Fire Battalion Chief (Shift)</t>
  </si>
  <si>
    <t>EPO COPAY E+CH</t>
  </si>
  <si>
    <t>6012-05 - Firefighter/EMT (Shift)</t>
  </si>
  <si>
    <t>6052-01 - Fire Battalion Chief (Shift)</t>
  </si>
  <si>
    <t>6022-20 - Firefighter/Paramedic (Shift)</t>
  </si>
  <si>
    <t>6032-06 - Fire Engineer (Shift)</t>
  </si>
  <si>
    <t>6012-07 - Firefighter/EMT (Shift)</t>
  </si>
  <si>
    <t>6022-19 - Firefighter/Paramedic (Shift)</t>
  </si>
  <si>
    <t>6022-17 - Firefighter/Paramedic (Shift)</t>
  </si>
  <si>
    <t>6022-15 - Firefighter/Paramedic (Shift)</t>
  </si>
  <si>
    <t>6022-16 - Firefighter/Paramedic (Shift)</t>
  </si>
  <si>
    <t>6032-03 - Medical Operation Officer-Shift</t>
  </si>
  <si>
    <t>6022-13 - Firefighter/Paramedic (Shift)</t>
  </si>
  <si>
    <t>6022-18 - Firefighter/Paramedic (Shift)</t>
  </si>
  <si>
    <t>6032-05 - Medical Operation Officer-Shift</t>
  </si>
  <si>
    <t>6052-03 - Fire Battalion Chief (Shift)</t>
  </si>
  <si>
    <t>6022-12 - Firefighter/Paramedic (Shift)</t>
  </si>
  <si>
    <t>6022-11 - Firefighter/Paramedic (Shift)</t>
  </si>
  <si>
    <t>6022-10 - Firefighter/Paramedic (Shift)</t>
  </si>
  <si>
    <t>6022-09 - Firefighter/Paramedic (Shift)</t>
  </si>
  <si>
    <t>6022-08 - Firefighter/Paramedic (Shift)</t>
  </si>
  <si>
    <t>6022-07 - Firefighter/Paramedic (Shift)</t>
  </si>
  <si>
    <t>6032-04 - Fire Engineer (Shift)</t>
  </si>
  <si>
    <t>6042-03 - Fire Lieutenant (Shift)</t>
  </si>
  <si>
    <t>6032-10 - Medical Operation Officer-Shift</t>
  </si>
  <si>
    <t>6022-06 - Firefighter/Paramedic (Shift)</t>
  </si>
  <si>
    <t>6022-05 - Firefighter/Paramedic (Shift)</t>
  </si>
  <si>
    <t>6022-04 - Firefighter/Paramedic (Shift)</t>
  </si>
  <si>
    <t>6022-03 - Firefighter/Paramedic (Shift)</t>
  </si>
  <si>
    <t>6032-01 - Fire Engineer (Shift)</t>
  </si>
  <si>
    <t>6042-02 - Fire Lieutenant (Shift)</t>
  </si>
  <si>
    <t>6042-01 - Fire Lieutenant (Shift)</t>
  </si>
  <si>
    <t>6032-02 - Fire Engineer (Shift)</t>
  </si>
  <si>
    <t>65</t>
  </si>
  <si>
    <t>34</t>
  </si>
  <si>
    <t>1705-03 - Parks Maintenance  Worker</t>
  </si>
  <si>
    <t>0019-11 - Sr. Parks Maintenance Worker</t>
  </si>
  <si>
    <t>0033-05 - Parks Superintendent</t>
  </si>
  <si>
    <t>1911-01 - Sr. Parks Maintenance Worker</t>
  </si>
  <si>
    <t>1911-02 - Sr. Parks Maintenance Worker</t>
  </si>
  <si>
    <t>2201-07 - Administrative Assistant-Comm Se</t>
  </si>
  <si>
    <t>0230-91 - Parks Crew Leader</t>
  </si>
  <si>
    <t>1705-02 - Parks Maintenance  Worker</t>
  </si>
  <si>
    <t>0023-12 - Irrigation Specialist</t>
  </si>
  <si>
    <t>0023-09 - Parks Crew Leader</t>
  </si>
  <si>
    <t>1705-01 - Parks Maintenance  Worker</t>
  </si>
  <si>
    <t>0017-05 - Parks Maintenance  Worker</t>
  </si>
  <si>
    <t>44</t>
  </si>
  <si>
    <t>0220-81 - Special Events Assistant</t>
  </si>
  <si>
    <t>0019-12 - Sr. Center Facilities Assistant</t>
  </si>
  <si>
    <t>0027-09 - Rec and Sr Program  Supervisor</t>
  </si>
  <si>
    <t>0030-03 - Special Events Manager</t>
  </si>
  <si>
    <t>PT 5.0</t>
  </si>
  <si>
    <t>1506-06 - Customer Service Associate PT 25</t>
  </si>
  <si>
    <t>0017-06 - Sr Center Activity Programmer</t>
  </si>
  <si>
    <t>202</t>
  </si>
  <si>
    <t>0031-01 - Cultural Arts Manager</t>
  </si>
  <si>
    <t>503</t>
  </si>
  <si>
    <t>0030-02 - Office Manager PW</t>
  </si>
  <si>
    <t>2201-01 - Administrative Assistant-PW</t>
  </si>
  <si>
    <t>0038-03 - Public Works Operations Manager</t>
  </si>
  <si>
    <t>0043-05 - Director of Public Works</t>
  </si>
  <si>
    <t>0023-05 - Water Quality Crew Leader</t>
  </si>
  <si>
    <t>0230-43 - Utility Crew Leader</t>
  </si>
  <si>
    <t>0033-03 - Utility Superintendent</t>
  </si>
  <si>
    <t>0230-42 - Utility Crew Leader</t>
  </si>
  <si>
    <t>0028-01 - Environmental Specialist</t>
  </si>
  <si>
    <t>0019-13 - Sr. Utilities Maintenance Worker</t>
  </si>
  <si>
    <t>1906-03 - Sr. Utilities Maintenance Worker</t>
  </si>
  <si>
    <t>0023-04 - Utility Crew Leader</t>
  </si>
  <si>
    <t>1906-02 - Sr. Utilities Maintenance Worker</t>
  </si>
  <si>
    <t>0230-41 - Utility Crew Leader</t>
  </si>
  <si>
    <t>1703-09 - Utilities Maintenance Worker</t>
  </si>
  <si>
    <t>17</t>
  </si>
  <si>
    <t>0022-03 - Senior Billing Technician</t>
  </si>
  <si>
    <t>0017-04 - Customer Service Representative</t>
  </si>
  <si>
    <t>0019-08 - Sr. Customer Service Rep</t>
  </si>
  <si>
    <t>1908-01 - Sr. Customer Service Rep</t>
  </si>
  <si>
    <t>504</t>
  </si>
  <si>
    <t>2201-02 - Administrative Assistant-PW</t>
  </si>
  <si>
    <t>1701-02 - Stormwater Maintenance Worker</t>
  </si>
  <si>
    <t>0023-01 - Stormwater Crew Leader</t>
  </si>
  <si>
    <t>0033-02 - Street &amp; Drainage Superintendent</t>
  </si>
  <si>
    <t>GRADE</t>
  </si>
  <si>
    <t>STEP</t>
  </si>
  <si>
    <t>STEP RATE</t>
  </si>
  <si>
    <t>Adjustment Rate</t>
  </si>
  <si>
    <t>PD3</t>
  </si>
  <si>
    <t>PD1A</t>
  </si>
  <si>
    <t>PD1B</t>
  </si>
  <si>
    <t>W/C Code</t>
  </si>
  <si>
    <t>Description</t>
  </si>
  <si>
    <t>NWS Benefit Code Rate</t>
  </si>
  <si>
    <t>CONTRACTOR-EXEC SUPERVISOR</t>
  </si>
  <si>
    <t>STREET/ROAD CONST:PAVING/RE</t>
  </si>
  <si>
    <t>WATERWORKS OPERATION &amp; DRIVERS</t>
  </si>
  <si>
    <t>SEWAGE TREATMENT &amp; COLLECTION</t>
  </si>
  <si>
    <t>FIREFIGHTERS-PAID</t>
  </si>
  <si>
    <t>POLICE OFFICERS &amp; DRIVERS</t>
  </si>
  <si>
    <t>AUTO &amp; HEAVY EQUIP REPAIR</t>
  </si>
  <si>
    <t>Automobile Garage</t>
  </si>
  <si>
    <t>CLERICAL OFFICE EMPLOYEES NOC</t>
  </si>
  <si>
    <t>ANIMAL SHELTERS</t>
  </si>
  <si>
    <t>SCHOOLS, LIBRARY, MUSEUM PROF</t>
  </si>
  <si>
    <t>MOTORCYCLE POLICE OFFICERS</t>
  </si>
  <si>
    <t>BUILDING SVCS CONTRACTOR</t>
  </si>
  <si>
    <t>SCHOOL CROSSING GUARDS</t>
  </si>
  <si>
    <t>PARK &amp; RECREATION</t>
  </si>
  <si>
    <t>Street Cleaning</t>
  </si>
  <si>
    <t>Work Comp Experience Modifier</t>
  </si>
  <si>
    <t>Work Comp Fund Multiplier</t>
  </si>
  <si>
    <t>Work Comp Rate Multiplier</t>
  </si>
  <si>
    <t>TO BE ELIGIBLE FOR KANER</t>
  </si>
  <si>
    <t>TO BE ELIGIBLE FOR TMRS</t>
  </si>
  <si>
    <t>TO BE ELIGIBLE FOR HEALTH, DENTAL, LIFE</t>
  </si>
  <si>
    <t>hrs worked</t>
  </si>
  <si>
    <t xml:space="preserve">TOTAL </t>
  </si>
  <si>
    <t>Health Code</t>
  </si>
  <si>
    <t>Plan</t>
  </si>
  <si>
    <t>Total Monthly</t>
  </si>
  <si>
    <t>Emp Monthly</t>
  </si>
  <si>
    <t>City Monthly</t>
  </si>
  <si>
    <t>City Annual</t>
  </si>
  <si>
    <t>Dental Code</t>
  </si>
  <si>
    <t>Clinic Code</t>
  </si>
  <si>
    <t>Dental HMO Emp</t>
  </si>
  <si>
    <t>Texas Health - Employee</t>
  </si>
  <si>
    <t>Dental HMO + 1</t>
  </si>
  <si>
    <t>Texas Health - Emp+Child</t>
  </si>
  <si>
    <t>Dental HMO + 2</t>
  </si>
  <si>
    <t>Texas Health - Emp+Spouse</t>
  </si>
  <si>
    <t>Dental PPO Emp</t>
  </si>
  <si>
    <t>Texas Health - Family</t>
  </si>
  <si>
    <t>Dental PPO + 1</t>
  </si>
  <si>
    <t>Waive</t>
  </si>
  <si>
    <t>Dental PPO + 2</t>
  </si>
  <si>
    <t>CMD</t>
  </si>
  <si>
    <t>CMM</t>
  </si>
  <si>
    <t>City Manager</t>
  </si>
  <si>
    <t>SWAT</t>
  </si>
  <si>
    <t>6/week</t>
  </si>
  <si>
    <t>5/week</t>
  </si>
  <si>
    <t>Div</t>
  </si>
  <si>
    <t>Budget</t>
  </si>
  <si>
    <t>Personnel</t>
  </si>
  <si>
    <t>CRASH</t>
  </si>
  <si>
    <t>CID</t>
  </si>
  <si>
    <t>Det</t>
  </si>
  <si>
    <t>CS</t>
  </si>
  <si>
    <t>AUTO ALLOW</t>
  </si>
  <si>
    <t>CLOTH ALLOW</t>
  </si>
  <si>
    <t>CELL ALLOW</t>
  </si>
  <si>
    <t>TMRS ALLOW</t>
  </si>
  <si>
    <t>TYPE</t>
  </si>
  <si>
    <t>GROUP</t>
  </si>
  <si>
    <t>FUND</t>
  </si>
  <si>
    <t>DEPT</t>
  </si>
  <si>
    <t>DIV</t>
  </si>
  <si>
    <t>BENE CALC</t>
  </si>
  <si>
    <t>SPLIT</t>
  </si>
  <si>
    <t>PS STEP</t>
  </si>
  <si>
    <t>PS GRADE</t>
  </si>
  <si>
    <t>PS GRADE DESC</t>
  </si>
  <si>
    <t>FY 22 STEP</t>
  </si>
  <si>
    <t>FY 23 STEP</t>
  </si>
  <si>
    <t>D.O.H.</t>
  </si>
  <si>
    <t>RHS YEARS</t>
  </si>
  <si>
    <t>HOURLY RATE</t>
  </si>
  <si>
    <t>NEW STEP RATE</t>
  </si>
  <si>
    <t>WRK COMP</t>
  </si>
  <si>
    <t>M-CARE</t>
  </si>
  <si>
    <t>WRK COMP RATE</t>
  </si>
  <si>
    <t>DENTAL PLAN</t>
  </si>
  <si>
    <t>HEALTH PLAN</t>
  </si>
  <si>
    <t>EMP CLINIC</t>
  </si>
  <si>
    <t>Aetna THA HPHP Employee Only</t>
  </si>
  <si>
    <t>Aetna THA HPHP Employee + Spouse</t>
  </si>
  <si>
    <t>Aetna THA HPHP Employee + Child(ren)</t>
  </si>
  <si>
    <t>Aetna THA HPHP Family</t>
  </si>
  <si>
    <t>Aetna EPO HPHP Employee Only</t>
  </si>
  <si>
    <t>Aetna EPO HPHP Employee + Spouse</t>
  </si>
  <si>
    <t>Aetna EPO HPHP Employee + Child(ren)</t>
  </si>
  <si>
    <t>Aetna EPO HPHP Family</t>
  </si>
  <si>
    <t>Aetna THA Co-Pay Employee Only</t>
  </si>
  <si>
    <t>Aetna THA Co-Pay Employee + Spouse</t>
  </si>
  <si>
    <t>Aetna THA Co-Pay Employee + Child(ren)</t>
  </si>
  <si>
    <t>Aetna THA Co-Pay Family</t>
  </si>
  <si>
    <t>Aetna EPO Co-Pay Employee Only</t>
  </si>
  <si>
    <t>Aetna EPO Co-Pay Employee + Spouse</t>
  </si>
  <si>
    <t>Aetna EPO Co-Pay Employee + Child(ren)</t>
  </si>
  <si>
    <t>Aetna EPO Co-Pay Family</t>
  </si>
  <si>
    <t>LIFE/ADD</t>
  </si>
  <si>
    <t>SUMMED WAGES</t>
  </si>
  <si>
    <t>BASE WAGES</t>
  </si>
  <si>
    <t>FIRE SHIFT ANNUAL HOURS</t>
  </si>
  <si>
    <t>INCENT PAY</t>
  </si>
  <si>
    <t>TRAIN OFF</t>
  </si>
  <si>
    <t>P-MEDIC</t>
  </si>
  <si>
    <t>P-MEDIC DIFF</t>
  </si>
  <si>
    <t>TAP PAY</t>
  </si>
  <si>
    <t>STAND-BY</t>
  </si>
  <si>
    <t>FTO</t>
  </si>
  <si>
    <t>ATB INC</t>
  </si>
  <si>
    <t>UNDER $100K</t>
  </si>
  <si>
    <t>OVER $100K</t>
  </si>
  <si>
    <t>COLA-CIV</t>
  </si>
  <si>
    <t>COLA-PS</t>
  </si>
  <si>
    <t>COLA</t>
  </si>
  <si>
    <t>LONGVTY</t>
  </si>
  <si>
    <t>OVERTIME</t>
  </si>
  <si>
    <t>LIFE INS</t>
  </si>
  <si>
    <t>DENTAL INS</t>
  </si>
  <si>
    <t>HEALTH INS</t>
  </si>
  <si>
    <t>VARIES</t>
  </si>
  <si>
    <t>HSA</t>
  </si>
  <si>
    <t>TMRS PENSION</t>
  </si>
  <si>
    <t>WORK COMP</t>
  </si>
  <si>
    <t>STATE UNEMP</t>
  </si>
  <si>
    <t>LTD DIS</t>
  </si>
  <si>
    <t>RHS</t>
  </si>
  <si>
    <t>RHS-GASB</t>
  </si>
  <si>
    <t>TOTAL PERSONNEL</t>
  </si>
  <si>
    <t>TIERS</t>
  </si>
  <si>
    <t>FICA/M-CARE</t>
  </si>
  <si>
    <t>8001-01</t>
  </si>
  <si>
    <t>8001-03</t>
  </si>
  <si>
    <t>8001-04</t>
  </si>
  <si>
    <t>8001-05</t>
  </si>
  <si>
    <t>8001-06</t>
  </si>
  <si>
    <t>8001-07</t>
  </si>
  <si>
    <t>8001-08</t>
  </si>
  <si>
    <t>8001-09</t>
  </si>
  <si>
    <t>8001-99</t>
  </si>
  <si>
    <t>8005-10</t>
  </si>
  <si>
    <t>8005-15</t>
  </si>
  <si>
    <t>8005-20</t>
  </si>
  <si>
    <t>8005-25</t>
  </si>
  <si>
    <t>8006-01</t>
  </si>
  <si>
    <t>FROZEN</t>
  </si>
  <si>
    <t>POSITION</t>
  </si>
  <si>
    <t>DIVISION</t>
  </si>
  <si>
    <t>BUDGET</t>
  </si>
  <si>
    <t>VACANT</t>
  </si>
  <si>
    <t>41XX-XX - Director of Parks and Recreation</t>
  </si>
  <si>
    <t>Division Budget</t>
  </si>
  <si>
    <t>8004</t>
  </si>
  <si>
    <t>8007</t>
  </si>
  <si>
    <t>8026</t>
  </si>
  <si>
    <t>8035</t>
  </si>
  <si>
    <t>TAP</t>
  </si>
  <si>
    <t>STANDBY</t>
  </si>
  <si>
    <t>PHYSICALS</t>
  </si>
  <si>
    <t>BACK GROUNDS</t>
  </si>
  <si>
    <t>GASB</t>
  </si>
  <si>
    <t>GEN GOVT - CITY MANAGER</t>
  </si>
  <si>
    <t>GEN GOVT - CITY SECRETARY</t>
  </si>
  <si>
    <t>GEN GOVT - COMMUNICATIONS</t>
  </si>
  <si>
    <t>SUPPORT SVCS - IT</t>
  </si>
  <si>
    <t>SUPPORT SVCS - HR</t>
  </si>
  <si>
    <t>SUPPORT SVCS - FACILITIES</t>
  </si>
  <si>
    <t>DEV - ECONOMIC DEVELOPMENT</t>
  </si>
  <si>
    <t>DEV - NEIGHBORHOOD SVCS</t>
  </si>
  <si>
    <t>DEV - INSPECTIONS</t>
  </si>
  <si>
    <t>DEV - PLANNING &amp; ZONING</t>
  </si>
  <si>
    <t>PUBLIC WKS - FLEET</t>
  </si>
  <si>
    <t>PUBLIC WKS - STREETS</t>
  </si>
  <si>
    <t>ADMIN SVCS - FINANCE</t>
  </si>
  <si>
    <t>ADMIN SVCS - MUNICIPAL COURT</t>
  </si>
  <si>
    <t>ADMIN SVCS - TEEN COURT</t>
  </si>
  <si>
    <t>POLICE - ADMINISTRATION</t>
  </si>
  <si>
    <t>POLICE - SCHOOL CROSSING GUARDS</t>
  </si>
  <si>
    <t>POLICE - ACO</t>
  </si>
  <si>
    <t>POLICE - OPERATIONS</t>
  </si>
  <si>
    <t>FIRE - ADMINISTRATION</t>
  </si>
  <si>
    <t>FIRE - OPERATIONS</t>
  </si>
  <si>
    <t>COMM SVC - LIBRARY</t>
  </si>
  <si>
    <t>COMM SVC - PARKS</t>
  </si>
  <si>
    <t>COMM SVC - RECREATION</t>
  </si>
  <si>
    <t>COMM VEH ENF FUND TOTAL</t>
  </si>
  <si>
    <t>COMMUNITY SVCS - TOURISM</t>
  </si>
  <si>
    <t>COMMUNITY SVCS - OBS</t>
  </si>
  <si>
    <t>PUBLIC WKS - ADMINISTRATION</t>
  </si>
  <si>
    <t>PUBLIC WKS - ENGINEERING</t>
  </si>
  <si>
    <t>PUBLIC WKS - WATER</t>
  </si>
  <si>
    <t>PUBLIC WKS - WASTEWATER</t>
  </si>
  <si>
    <t>ADMIN SVCS - CUSTOMER SERVICE</t>
  </si>
  <si>
    <t>STORMWATER FUND TOTAL</t>
  </si>
  <si>
    <t>8005-05</t>
  </si>
  <si>
    <t>DIVISON</t>
  </si>
  <si>
    <t>UNDER $100k</t>
  </si>
  <si>
    <t>OVER $100k</t>
  </si>
  <si>
    <t>RHS - GASB</t>
  </si>
  <si>
    <t>GENERAL FUND TOTAL</t>
  </si>
  <si>
    <t>TOURISM FUND TOTAL</t>
  </si>
  <si>
    <t>WATER FUND TOTAL</t>
  </si>
  <si>
    <t>Current Amount</t>
  </si>
  <si>
    <t>General Fund</t>
  </si>
  <si>
    <t>CVE Fund</t>
  </si>
  <si>
    <t>Tourism Fund</t>
  </si>
  <si>
    <t>Water Fund</t>
  </si>
  <si>
    <t>Stormwater</t>
  </si>
  <si>
    <t>TOTAL</t>
  </si>
  <si>
    <t>Difference</t>
  </si>
  <si>
    <t>Insurance Acct #</t>
  </si>
  <si>
    <t>%</t>
  </si>
  <si>
    <t>Monthly Premium</t>
  </si>
  <si>
    <t>City</t>
  </si>
  <si>
    <t xml:space="preserve">Retiree </t>
  </si>
  <si>
    <t>GL Dist.</t>
  </si>
  <si>
    <t>Department</t>
  </si>
  <si>
    <t>Annual</t>
  </si>
  <si>
    <t>130-3016.8035</t>
  </si>
  <si>
    <t>EPO Retiree Only</t>
  </si>
  <si>
    <t>101.10.10</t>
  </si>
  <si>
    <t>Gen. Govt.</t>
  </si>
  <si>
    <t>101.10.10.8035</t>
  </si>
  <si>
    <t>PPO Retiree Only</t>
  </si>
  <si>
    <t>101-10-10 CITY MANAGER</t>
  </si>
  <si>
    <t>101.20.22.8035</t>
  </si>
  <si>
    <t>PPO Retiree + SP</t>
  </si>
  <si>
    <t>101.20.14</t>
  </si>
  <si>
    <t>Suppt. Serv.</t>
  </si>
  <si>
    <t>101.20.14 INFORMATION TECHNOLOGY</t>
  </si>
  <si>
    <t>101.20.22</t>
  </si>
  <si>
    <t>101.20.22 HUMAN RESOURCES</t>
  </si>
  <si>
    <t>101.20.39</t>
  </si>
  <si>
    <t>101.20.39 FACILITIES</t>
  </si>
  <si>
    <t>101.35.24.8035</t>
  </si>
  <si>
    <t>101.35.24</t>
  </si>
  <si>
    <t>Development</t>
  </si>
  <si>
    <t>101.35.25 CODE COMPLIANCE</t>
  </si>
  <si>
    <t>101.50.54.8035</t>
  </si>
  <si>
    <t>101.50.54</t>
  </si>
  <si>
    <t>Admin. Serv.</t>
  </si>
  <si>
    <t>101.50.54 TEEN COURT</t>
  </si>
  <si>
    <t>EPO Retiree + SP</t>
  </si>
  <si>
    <t>101.55.02</t>
  </si>
  <si>
    <t>Police</t>
  </si>
  <si>
    <t>101.55.02.8035</t>
  </si>
  <si>
    <t>HMO Retiree + SP</t>
  </si>
  <si>
    <t>101.55.02 POLICE ADMIN</t>
  </si>
  <si>
    <t>101.55.05</t>
  </si>
  <si>
    <t>THA Retiree + SP</t>
  </si>
  <si>
    <t>THA Retiree Only</t>
  </si>
  <si>
    <t>101.55.05.8035</t>
  </si>
  <si>
    <t>HMO Spouse Only</t>
  </si>
  <si>
    <t>101.50.16.8035</t>
  </si>
  <si>
    <t>101.55.06</t>
  </si>
  <si>
    <t>THA Spouse Only</t>
  </si>
  <si>
    <t>101.55.06.8035</t>
  </si>
  <si>
    <t>EPO Retiree + Family</t>
  </si>
  <si>
    <t>101.55.36</t>
  </si>
  <si>
    <t>101.55.36.8035</t>
  </si>
  <si>
    <t>101.55.32 POLICE OPS</t>
  </si>
  <si>
    <t>101.60.02.8035</t>
  </si>
  <si>
    <t>PPO Spouse Only</t>
  </si>
  <si>
    <t>101.60.02</t>
  </si>
  <si>
    <t>Fire</t>
  </si>
  <si>
    <t>101.60.02 FIRE ADMIN</t>
  </si>
  <si>
    <t>EPO Retiree Spouse Only</t>
  </si>
  <si>
    <t>101.60.32</t>
  </si>
  <si>
    <t>101.60.32.8005.0015</t>
  </si>
  <si>
    <t>101.60.32 FIRE OPS</t>
  </si>
  <si>
    <t>101.65.26.8035</t>
  </si>
  <si>
    <t>101.65.26</t>
  </si>
  <si>
    <t>Comm Serv.</t>
  </si>
  <si>
    <t>HMO Retiree Only</t>
  </si>
  <si>
    <t>101.65.26 LIBRARY</t>
  </si>
  <si>
    <t>101.65.34</t>
  </si>
  <si>
    <t>101.65.34.8035</t>
  </si>
  <si>
    <t>101.65.34 PARKS</t>
  </si>
  <si>
    <t>101.65.46.8035</t>
  </si>
  <si>
    <t>101.65.46</t>
  </si>
  <si>
    <t>101.65.44 RECREATION</t>
  </si>
  <si>
    <t>503.45.50</t>
  </si>
  <si>
    <t>Public Works</t>
  </si>
  <si>
    <t>503.45.50 PW WATER</t>
  </si>
  <si>
    <t>503.50.17.8035</t>
  </si>
  <si>
    <t>503.50.17</t>
  </si>
  <si>
    <t>503.50.17 CUSTOMER SERVICE</t>
  </si>
  <si>
    <t>CITY MANAGER</t>
  </si>
  <si>
    <t>CITY SECRETARY</t>
  </si>
  <si>
    <t>HUMAN RESOURCES</t>
  </si>
  <si>
    <t>FACILITIES MAINTENANCE</t>
  </si>
  <si>
    <t>ECONOMIC DEVELOPMENT</t>
  </si>
  <si>
    <t>PLANNING &amp; ZONING</t>
  </si>
  <si>
    <t>STREETS</t>
  </si>
  <si>
    <t>FINANCE</t>
  </si>
  <si>
    <t>POLICE ADMINISTRATION</t>
  </si>
  <si>
    <t>POLICE OPERATIONS</t>
  </si>
  <si>
    <t>FIRE ADMINISTRATION</t>
  </si>
  <si>
    <t>FIRE OPERATIONS</t>
  </si>
  <si>
    <t>PARKS</t>
  </si>
  <si>
    <t>RECREATION</t>
  </si>
  <si>
    <t>TOURISM ADMINISTRATION</t>
  </si>
  <si>
    <t>PW ADMINISTRATION</t>
  </si>
  <si>
    <t>WATER DISTRIBUTION</t>
  </si>
  <si>
    <t>WASTEWATER</t>
  </si>
  <si>
    <t>CUSTOMER SERVICE</t>
  </si>
  <si>
    <t>STORMWATER</t>
  </si>
  <si>
    <t>3053-01 - Field Operations Manager</t>
  </si>
  <si>
    <t>0027-08 - Streets and Traffic Supervisor</t>
  </si>
  <si>
    <t>0019-04 - Sr. Traffic Maintenance Worker</t>
  </si>
  <si>
    <t>1702-02 - Streets Maintenance Worker</t>
  </si>
  <si>
    <t>2903-01 - Accountant</t>
  </si>
  <si>
    <t>3306-01 - Recreation Manager</t>
  </si>
  <si>
    <t>2510-01 - Athletics &amp; Aquatics Supervisor</t>
  </si>
  <si>
    <t>25XX-01 - Sr Center Supervisor</t>
  </si>
  <si>
    <t>PT 5.1</t>
  </si>
  <si>
    <t>PT 5.2</t>
  </si>
  <si>
    <t>PT 5.3</t>
  </si>
  <si>
    <t>1506 - Rec Center Attendant PT 18</t>
  </si>
  <si>
    <t>SEA</t>
  </si>
  <si>
    <t>1201 - Day Camp Director</t>
  </si>
  <si>
    <t>0801 - Day Camp Leader</t>
  </si>
  <si>
    <t>1002 - Head Lifeguard</t>
  </si>
  <si>
    <t>0802 - Lifeguard</t>
  </si>
  <si>
    <t>0701 - Concession/Ticket/Slide Att</t>
  </si>
  <si>
    <t>AQUATICS</t>
  </si>
  <si>
    <t>0020-01 - Facilities Maint Tech</t>
  </si>
  <si>
    <t>0220-82 - Special Events Assistant</t>
  </si>
  <si>
    <t>COMM SVC - AQUATICS</t>
  </si>
  <si>
    <t>PRIOR YEAR TMRS RATE</t>
  </si>
  <si>
    <r>
      <t xml:space="preserve">New State Rate a/o </t>
    </r>
    <r>
      <rPr>
        <b/>
        <sz val="11"/>
        <color rgb="FFFF0000"/>
        <rFont val="Calibri"/>
        <family val="2"/>
        <scheme val="minor"/>
      </rPr>
      <t>10/1/22</t>
    </r>
  </si>
  <si>
    <t>Steps?</t>
  </si>
  <si>
    <t>5545-04 - Police Lieutenant</t>
  </si>
  <si>
    <t>FD1</t>
  </si>
  <si>
    <t>4801-01 - Assistant City Manager</t>
  </si>
  <si>
    <r>
      <rPr>
        <b/>
        <sz val="11"/>
        <color rgb="FFFF0000"/>
        <rFont val="Calibri"/>
        <family val="2"/>
        <scheme val="minor"/>
      </rPr>
      <t>10/01/22</t>
    </r>
    <r>
      <rPr>
        <b/>
        <sz val="11"/>
        <color theme="1"/>
        <rFont val="Calibri"/>
        <family val="2"/>
        <scheme val="minor"/>
      </rPr>
      <t xml:space="preserve"> Relativties</t>
    </r>
  </si>
  <si>
    <t>1903-03 - Sr. Streets Maintenance Worker</t>
  </si>
  <si>
    <t>3208-01 - Purchasing Manager</t>
  </si>
  <si>
    <t>1604-03 - Pool Manager</t>
  </si>
  <si>
    <t>LONG MTHS</t>
  </si>
  <si>
    <t>2904-01 - Utility Billing Manager</t>
  </si>
  <si>
    <t>3804-01 - Community Development Manager</t>
  </si>
  <si>
    <t>6022-02 - Firefighter/Paramedic (Shift)</t>
  </si>
  <si>
    <t>6022-01 - Firefighter/Paramedic (Shift)</t>
  </si>
  <si>
    <t>Entry Date 7/15/22</t>
  </si>
  <si>
    <t>PD6</t>
  </si>
  <si>
    <t>Police Deputy Chief</t>
  </si>
  <si>
    <t>FD6A</t>
  </si>
  <si>
    <t>Fire Deputy Chief</t>
  </si>
  <si>
    <t>EMPLOYEE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</si>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</sst>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409]#,##0.00"/>
    <numFmt numFmtId="165" formatCode="0.0000"/>
    <numFmt numFmtId="166" formatCode="0.0000000"/>
    <numFmt numFmtId="167" formatCode="000#"/>
    <numFmt numFmtId="168" formatCode="0.000000"/>
    <numFmt numFmtId="169" formatCode="0.0000%"/>
    <numFmt numFmtId="170" formatCode="_(* #,##0_);_(* \(#,##0\);_(* &quot;-&quot;??_);_(@_)"/>
    <numFmt numFmtId="171" formatCode="_(&quot;$&quot;* #,##0_);_(&quot;$&quot;* \(#,##0\);_(&quot;$&quot;* &quot;-&quot;??_);_(@_)"/>
    <numFmt numFmtId="172" formatCode="####\-##\-##"/>
    <numFmt numFmtId="173" formatCode="_(&quot;$&quot;* #,##0.0000_);_(&quot;$&quot;* \(#,##0.0000\);_(&quot;$&quot;* &quot;-&quot;??_);_(@_)"/>
    <numFmt numFmtId="174" formatCode="&quot;$&quot;#,##0.00000"/>
    <numFmt numFmtId="175" formatCode="_(&quot;$&quot;* #,##0.00000_);_(&quot;$&quot;* \(#,##0.00000\);_(&quot;$&quot;* &quot;-&quot;??_);_(@_)"/>
    <numFmt numFmtId="176" formatCode="0.0"/>
    <numFmt numFmtId="177" formatCode="0.0%"/>
  </numFmts>
  <fonts count="4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u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FF99"/>
      <name val="Calibri"/>
      <family val="2"/>
    </font>
    <font>
      <sz val="10"/>
      <color rgb="FF00FF99"/>
      <name val="Arial"/>
      <family val="2"/>
    </font>
    <font>
      <sz val="11"/>
      <color rgb="FFFF0000"/>
      <name val="Calibri"/>
      <family val="2"/>
    </font>
    <font>
      <b/>
      <u/>
      <sz val="11"/>
      <color rgb="FFFFFF00"/>
      <name val="Calibri"/>
      <family val="2"/>
    </font>
    <font>
      <b/>
      <u/>
      <sz val="10"/>
      <color rgb="FFFFFF00"/>
      <name val="Arial"/>
      <family val="2"/>
    </font>
    <font>
      <b/>
      <u/>
      <sz val="10"/>
      <color theme="0"/>
      <name val="Arial"/>
      <family val="2"/>
    </font>
    <font>
      <b/>
      <u/>
      <sz val="11"/>
      <color theme="0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u/>
      <sz val="11"/>
      <color theme="0"/>
      <name val="Calibri"/>
      <family val="2"/>
      <scheme val="minor"/>
    </font>
    <font>
      <b/>
      <u/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u/>
      <sz val="10"/>
      <color rgb="FF000000"/>
      <name val="Arial"/>
      <family val="2"/>
    </font>
    <font>
      <b/>
      <u/>
      <sz val="10"/>
      <color rgb="FF00FF99"/>
      <name val="Arial"/>
      <family val="2"/>
    </font>
    <font>
      <b/>
      <u/>
      <sz val="11"/>
      <color rgb="FFFF0000"/>
      <name val="Calibri"/>
      <family val="2"/>
    </font>
    <font>
      <b/>
      <u/>
      <sz val="10"/>
      <name val="Arial"/>
      <family val="2"/>
    </font>
    <font>
      <sz val="8"/>
      <name val="Calibri"/>
      <family val="2"/>
      <scheme val="minor"/>
    </font>
    <font>
      <sz val="10"/>
      <color theme="9" tint="-0.499984740745262"/>
      <name val="Arial"/>
      <family val="2"/>
    </font>
    <font>
      <sz val="10"/>
      <color rgb="FF0066FF"/>
      <name val="Arial"/>
      <family val="2"/>
    </font>
    <font>
      <b/>
      <u/>
      <sz val="10"/>
      <color rgb="FF0066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13" fillId="0" borderId="0"/>
    <xf numFmtId="0" fontId="5" fillId="0" borderId="0"/>
    <xf numFmtId="43" fontId="1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22">
    <xf numFmtId="0" fontId="6" fillId="0" borderId="0" xfId="0" applyFont="1"/>
    <xf numFmtId="0" fontId="7" fillId="0" borderId="0" xfId="0" applyFont="1" applyAlignment="1">
      <alignment vertical="top" wrapText="1" readingOrder="1"/>
    </xf>
    <xf numFmtId="164" fontId="7" fillId="0" borderId="0" xfId="0" applyNumberFormat="1" applyFont="1" applyAlignment="1">
      <alignment vertical="top" wrapText="1" readingOrder="1"/>
    </xf>
    <xf numFmtId="0" fontId="5" fillId="2" borderId="0" xfId="3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0" fontId="11" fillId="0" borderId="0" xfId="2" applyNumberFormat="1" applyFont="1" applyAlignment="1">
      <alignment horizontal="center"/>
    </xf>
    <xf numFmtId="0" fontId="5" fillId="2" borderId="0" xfId="3" applyFill="1"/>
    <xf numFmtId="165" fontId="5" fillId="2" borderId="0" xfId="3" applyNumberFormat="1" applyFill="1"/>
    <xf numFmtId="0" fontId="11" fillId="0" borderId="0" xfId="0" applyFont="1"/>
    <xf numFmtId="0" fontId="12" fillId="0" borderId="0" xfId="0" applyFont="1" applyAlignment="1">
      <alignment vertical="top" wrapText="1" readingOrder="1"/>
    </xf>
    <xf numFmtId="10" fontId="11" fillId="0" borderId="0" xfId="2" applyNumberFormat="1" applyFont="1"/>
    <xf numFmtId="165" fontId="11" fillId="0" borderId="0" xfId="0" applyNumberFormat="1" applyFont="1"/>
    <xf numFmtId="0" fontId="10" fillId="3" borderId="0" xfId="4" applyFont="1" applyFill="1" applyAlignment="1">
      <alignment horizontal="center" vertical="center" wrapText="1"/>
    </xf>
    <xf numFmtId="0" fontId="10" fillId="3" borderId="0" xfId="4" applyFont="1" applyFill="1" applyAlignment="1">
      <alignment horizontal="center" vertical="center"/>
    </xf>
    <xf numFmtId="49" fontId="10" fillId="3" borderId="0" xfId="4" applyNumberFormat="1" applyFont="1" applyFill="1" applyAlignment="1">
      <alignment horizontal="center" vertical="center" wrapText="1"/>
    </xf>
    <xf numFmtId="0" fontId="15" fillId="3" borderId="0" xfId="4" applyFont="1" applyFill="1" applyAlignment="1">
      <alignment horizontal="center"/>
    </xf>
    <xf numFmtId="0" fontId="15" fillId="3" borderId="0" xfId="4" applyFont="1" applyFill="1"/>
    <xf numFmtId="2" fontId="16" fillId="3" borderId="0" xfId="4" applyNumberFormat="1" applyFont="1" applyFill="1"/>
    <xf numFmtId="0" fontId="13" fillId="3" borderId="0" xfId="4" applyFill="1"/>
    <xf numFmtId="166" fontId="10" fillId="3" borderId="0" xfId="4" applyNumberFormat="1" applyFont="1" applyFill="1"/>
    <xf numFmtId="167" fontId="5" fillId="3" borderId="0" xfId="5" applyNumberFormat="1" applyFill="1" applyAlignment="1">
      <alignment horizontal="center"/>
    </xf>
    <xf numFmtId="0" fontId="5" fillId="3" borderId="0" xfId="5" applyFill="1"/>
    <xf numFmtId="0" fontId="15" fillId="3" borderId="0" xfId="4" quotePrefix="1" applyFont="1" applyFill="1" applyAlignment="1">
      <alignment horizontal="center"/>
    </xf>
    <xf numFmtId="2" fontId="15" fillId="3" borderId="0" xfId="4" applyNumberFormat="1" applyFont="1" applyFill="1"/>
    <xf numFmtId="168" fontId="10" fillId="3" borderId="0" xfId="4" applyNumberFormat="1" applyFont="1" applyFill="1"/>
    <xf numFmtId="169" fontId="13" fillId="3" borderId="0" xfId="4" quotePrefix="1" applyNumberFormat="1" applyFill="1"/>
    <xf numFmtId="0" fontId="17" fillId="3" borderId="0" xfId="4" applyFont="1" applyFill="1" applyAlignment="1">
      <alignment horizontal="center"/>
    </xf>
    <xf numFmtId="2" fontId="16" fillId="3" borderId="1" xfId="4" applyNumberFormat="1" applyFont="1" applyFill="1" applyBorder="1"/>
    <xf numFmtId="2" fontId="13" fillId="3" borderId="0" xfId="4" applyNumberFormat="1" applyFill="1"/>
    <xf numFmtId="165" fontId="18" fillId="3" borderId="0" xfId="4" applyNumberFormat="1" applyFont="1" applyFill="1"/>
    <xf numFmtId="0" fontId="19" fillId="0" borderId="0" xfId="4" applyFont="1"/>
    <xf numFmtId="0" fontId="15" fillId="0" borderId="0" xfId="0" applyFont="1"/>
    <xf numFmtId="0" fontId="15" fillId="0" borderId="0" xfId="4" applyFont="1"/>
    <xf numFmtId="0" fontId="20" fillId="0" borderId="0" xfId="4" applyFont="1"/>
    <xf numFmtId="44" fontId="15" fillId="0" borderId="0" xfId="4" applyNumberFormat="1" applyFont="1"/>
    <xf numFmtId="44" fontId="20" fillId="0" borderId="0" xfId="4" applyNumberFormat="1" applyFont="1"/>
    <xf numFmtId="44" fontId="15" fillId="0" borderId="0" xfId="4" applyNumberFormat="1" applyFont="1" applyAlignment="1">
      <alignment horizontal="right"/>
    </xf>
    <xf numFmtId="170" fontId="15" fillId="0" borderId="2" xfId="6" applyNumberFormat="1" applyFont="1" applyBorder="1"/>
    <xf numFmtId="0" fontId="9" fillId="0" borderId="0" xfId="4" applyFont="1"/>
    <xf numFmtId="44" fontId="21" fillId="0" borderId="0" xfId="4" applyNumberFormat="1" applyFont="1" applyAlignment="1">
      <alignment horizontal="right"/>
    </xf>
    <xf numFmtId="170" fontId="21" fillId="0" borderId="0" xfId="6" applyNumberFormat="1" applyFont="1"/>
    <xf numFmtId="44" fontId="15" fillId="4" borderId="0" xfId="4" applyNumberFormat="1" applyFont="1" applyFill="1" applyAlignment="1">
      <alignment horizontal="center" vertical="center"/>
    </xf>
    <xf numFmtId="44" fontId="15" fillId="0" borderId="0" xfId="4" applyNumberFormat="1" applyFont="1" applyAlignment="1">
      <alignment horizontal="center" vertical="center"/>
    </xf>
    <xf numFmtId="44" fontId="15" fillId="0" borderId="0" xfId="1" applyFont="1" applyAlignment="1">
      <alignment horizontal="center" vertical="center"/>
    </xf>
    <xf numFmtId="171" fontId="15" fillId="4" borderId="0" xfId="1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171" fontId="15" fillId="5" borderId="0" xfId="1" applyNumberFormat="1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44" fontId="15" fillId="0" borderId="0" xfId="1" applyFont="1"/>
    <xf numFmtId="171" fontId="15" fillId="4" borderId="0" xfId="1" applyNumberFormat="1" applyFont="1" applyFill="1"/>
    <xf numFmtId="0" fontId="15" fillId="5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171" fontId="15" fillId="5" borderId="0" xfId="1" applyNumberFormat="1" applyFont="1" applyFill="1"/>
    <xf numFmtId="0" fontId="8" fillId="6" borderId="0" xfId="0" applyFont="1" applyFill="1"/>
    <xf numFmtId="0" fontId="15" fillId="0" borderId="0" xfId="0" applyFont="1" applyAlignment="1">
      <alignment vertical="center" wrapText="1"/>
    </xf>
    <xf numFmtId="171" fontId="15" fillId="6" borderId="0" xfId="1" applyNumberFormat="1" applyFont="1" applyFill="1"/>
    <xf numFmtId="0" fontId="15" fillId="5" borderId="0" xfId="0" applyFont="1" applyFill="1"/>
    <xf numFmtId="0" fontId="15" fillId="6" borderId="0" xfId="0" applyFont="1" applyFill="1"/>
    <xf numFmtId="0" fontId="15" fillId="4" borderId="0" xfId="0" applyFont="1" applyFill="1"/>
    <xf numFmtId="171" fontId="11" fillId="0" borderId="0" xfId="1" applyNumberFormat="1" applyFont="1"/>
    <xf numFmtId="49" fontId="11" fillId="0" borderId="0" xfId="0" applyNumberFormat="1" applyFont="1"/>
    <xf numFmtId="171" fontId="11" fillId="0" borderId="0" xfId="1" applyNumberFormat="1" applyFont="1" applyFill="1" applyBorder="1"/>
    <xf numFmtId="9" fontId="11" fillId="0" borderId="0" xfId="2" applyFont="1" applyFill="1" applyBorder="1"/>
    <xf numFmtId="172" fontId="7" fillId="0" borderId="0" xfId="0" applyNumberFormat="1" applyFont="1" applyAlignment="1">
      <alignment vertical="top" wrapText="1" readingOrder="1"/>
    </xf>
    <xf numFmtId="2" fontId="7" fillId="0" borderId="0" xfId="0" applyNumberFormat="1" applyFont="1" applyAlignment="1">
      <alignment vertical="top" wrapText="1" readingOrder="1"/>
    </xf>
    <xf numFmtId="2" fontId="6" fillId="0" borderId="0" xfId="0" applyNumberFormat="1" applyFont="1"/>
    <xf numFmtId="44" fontId="7" fillId="0" borderId="0" xfId="1" applyFont="1" applyFill="1" applyBorder="1" applyAlignment="1">
      <alignment vertical="top" wrapText="1" readingOrder="1"/>
    </xf>
    <xf numFmtId="44" fontId="6" fillId="0" borderId="0" xfId="1" applyFont="1" applyFill="1" applyBorder="1"/>
    <xf numFmtId="173" fontId="7" fillId="0" borderId="0" xfId="1" applyNumberFormat="1" applyFont="1" applyFill="1" applyBorder="1" applyAlignment="1">
      <alignment vertical="top" wrapText="1" readingOrder="1"/>
    </xf>
    <xf numFmtId="173" fontId="6" fillId="0" borderId="0" xfId="1" applyNumberFormat="1" applyFont="1" applyFill="1" applyBorder="1"/>
    <xf numFmtId="0" fontId="4" fillId="2" borderId="0" xfId="3" applyFont="1" applyFill="1"/>
    <xf numFmtId="10" fontId="22" fillId="7" borderId="0" xfId="2" applyNumberFormat="1" applyFont="1" applyFill="1" applyBorder="1"/>
    <xf numFmtId="10" fontId="23" fillId="7" borderId="0" xfId="2" applyNumberFormat="1" applyFont="1" applyFill="1" applyBorder="1" applyAlignment="1">
      <alignment vertical="top" wrapText="1" readingOrder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171" fontId="6" fillId="0" borderId="0" xfId="1" applyNumberFormat="1" applyFont="1" applyFill="1" applyBorder="1"/>
    <xf numFmtId="171" fontId="24" fillId="0" borderId="0" xfId="1" applyNumberFormat="1" applyFont="1" applyFill="1" applyBorder="1"/>
    <xf numFmtId="44" fontId="6" fillId="0" borderId="0" xfId="0" applyNumberFormat="1" applyFont="1"/>
    <xf numFmtId="171" fontId="6" fillId="0" borderId="0" xfId="0" applyNumberFormat="1" applyFont="1"/>
    <xf numFmtId="10" fontId="25" fillId="8" borderId="0" xfId="2" applyNumberFormat="1" applyFont="1" applyFill="1" applyBorder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174" fontId="25" fillId="8" borderId="0" xfId="0" applyNumberFormat="1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 wrapText="1" readingOrder="1"/>
    </xf>
    <xf numFmtId="2" fontId="26" fillId="8" borderId="0" xfId="0" applyNumberFormat="1" applyFont="1" applyFill="1" applyAlignment="1">
      <alignment horizontal="center" vertical="center" wrapText="1" readingOrder="1"/>
    </xf>
    <xf numFmtId="49" fontId="26" fillId="8" borderId="0" xfId="0" applyNumberFormat="1" applyFont="1" applyFill="1" applyAlignment="1">
      <alignment horizontal="center" vertical="center" wrapText="1" readingOrder="1"/>
    </xf>
    <xf numFmtId="173" fontId="26" fillId="8" borderId="0" xfId="1" applyNumberFormat="1" applyFont="1" applyFill="1" applyBorder="1" applyAlignment="1">
      <alignment horizontal="center" vertical="center" wrapText="1" readingOrder="1"/>
    </xf>
    <xf numFmtId="10" fontId="26" fillId="8" borderId="0" xfId="2" applyNumberFormat="1" applyFont="1" applyFill="1" applyBorder="1" applyAlignment="1">
      <alignment horizontal="center" vertical="center" wrapText="1" readingOrder="1"/>
    </xf>
    <xf numFmtId="44" fontId="26" fillId="8" borderId="0" xfId="1" applyFont="1" applyFill="1" applyBorder="1" applyAlignment="1">
      <alignment horizontal="center" vertical="center" wrapText="1" readingOrder="1"/>
    </xf>
    <xf numFmtId="171" fontId="25" fillId="8" borderId="0" xfId="1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vertical="top" wrapText="1" readingOrder="1"/>
    </xf>
    <xf numFmtId="10" fontId="25" fillId="8" borderId="0" xfId="0" applyNumberFormat="1" applyFont="1" applyFill="1" applyAlignment="1">
      <alignment horizontal="center" vertical="center"/>
    </xf>
    <xf numFmtId="175" fontId="25" fillId="8" borderId="0" xfId="1" applyNumberFormat="1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 wrapText="1" readingOrder="1"/>
    </xf>
    <xf numFmtId="2" fontId="27" fillId="8" borderId="0" xfId="0" applyNumberFormat="1" applyFont="1" applyFill="1" applyAlignment="1">
      <alignment horizontal="center" vertical="center" wrapText="1" readingOrder="1"/>
    </xf>
    <xf numFmtId="49" fontId="27" fillId="8" borderId="0" xfId="0" applyNumberFormat="1" applyFont="1" applyFill="1" applyAlignment="1">
      <alignment horizontal="center" vertical="center" wrapText="1" readingOrder="1"/>
    </xf>
    <xf numFmtId="173" fontId="27" fillId="8" borderId="0" xfId="1" applyNumberFormat="1" applyFont="1" applyFill="1" applyBorder="1" applyAlignment="1">
      <alignment horizontal="center" vertical="center" wrapText="1" readingOrder="1"/>
    </xf>
    <xf numFmtId="10" fontId="27" fillId="8" borderId="0" xfId="2" applyNumberFormat="1" applyFont="1" applyFill="1" applyBorder="1" applyAlignment="1">
      <alignment horizontal="center" vertical="center" wrapText="1" readingOrder="1"/>
    </xf>
    <xf numFmtId="44" fontId="27" fillId="8" borderId="0" xfId="1" applyFont="1" applyFill="1" applyBorder="1" applyAlignment="1">
      <alignment horizontal="center" vertical="center" wrapText="1" readingOrder="1"/>
    </xf>
    <xf numFmtId="0" fontId="28" fillId="8" borderId="0" xfId="0" applyFont="1" applyFill="1" applyAlignment="1">
      <alignment horizontal="center" vertical="center" wrapText="1"/>
    </xf>
    <xf numFmtId="171" fontId="28" fillId="8" borderId="0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73" fontId="6" fillId="0" borderId="0" xfId="1" applyNumberFormat="1" applyFont="1" applyFill="1" applyBorder="1" applyAlignment="1">
      <alignment horizontal="center" vertical="center"/>
    </xf>
    <xf numFmtId="10" fontId="22" fillId="7" borderId="0" xfId="2" applyNumberFormat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171" fontId="11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27" fillId="8" borderId="0" xfId="0" applyNumberFormat="1" applyFont="1" applyFill="1" applyAlignment="1">
      <alignment horizontal="center" vertical="center" wrapText="1" readingOrder="1"/>
    </xf>
    <xf numFmtId="166" fontId="26" fillId="8" borderId="0" xfId="0" applyNumberFormat="1" applyFont="1" applyFill="1" applyAlignment="1">
      <alignment horizontal="center" vertical="center" wrapText="1" readingOrder="1"/>
    </xf>
    <xf numFmtId="166" fontId="7" fillId="0" borderId="0" xfId="0" applyNumberFormat="1" applyFont="1" applyAlignment="1">
      <alignment vertical="top" wrapText="1" readingOrder="1"/>
    </xf>
    <xf numFmtId="166" fontId="6" fillId="0" borderId="0" xfId="0" applyNumberFormat="1" applyFont="1"/>
    <xf numFmtId="0" fontId="12" fillId="0" borderId="0" xfId="0" applyFont="1" applyAlignment="1">
      <alignment horizontal="center" vertical="top" wrapText="1" readingOrder="1"/>
    </xf>
    <xf numFmtId="49" fontId="11" fillId="4" borderId="0" xfId="0" applyNumberFormat="1" applyFont="1" applyFill="1" applyAlignment="1">
      <alignment horizontal="center"/>
    </xf>
    <xf numFmtId="49" fontId="11" fillId="4" borderId="0" xfId="1" applyNumberFormat="1" applyFont="1" applyFill="1" applyBorder="1" applyAlignment="1">
      <alignment horizontal="center"/>
    </xf>
    <xf numFmtId="49" fontId="11" fillId="10" borderId="0" xfId="1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 wrapText="1" readingOrder="1"/>
    </xf>
    <xf numFmtId="171" fontId="11" fillId="4" borderId="0" xfId="1" applyNumberFormat="1" applyFont="1" applyFill="1" applyBorder="1" applyAlignment="1">
      <alignment horizontal="center" vertical="center" wrapText="1"/>
    </xf>
    <xf numFmtId="171" fontId="11" fillId="10" borderId="0" xfId="1" applyNumberFormat="1" applyFont="1" applyFill="1" applyBorder="1" applyAlignment="1">
      <alignment horizontal="center" vertical="center" wrapText="1"/>
    </xf>
    <xf numFmtId="171" fontId="11" fillId="0" borderId="0" xfId="0" applyNumberFormat="1" applyFont="1"/>
    <xf numFmtId="2" fontId="29" fillId="0" borderId="0" xfId="0" applyNumberFormat="1" applyFont="1" applyAlignment="1">
      <alignment horizontal="center"/>
    </xf>
    <xf numFmtId="171" fontId="11" fillId="0" borderId="0" xfId="1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11" fillId="0" borderId="0" xfId="1" applyNumberFormat="1" applyFont="1" applyFill="1" applyBorder="1" applyAlignment="1">
      <alignment horizontal="center"/>
    </xf>
    <xf numFmtId="0" fontId="31" fillId="8" borderId="0" xfId="0" applyFont="1" applyFill="1" applyAlignment="1">
      <alignment horizontal="center" vertical="center" readingOrder="1"/>
    </xf>
    <xf numFmtId="2" fontId="31" fillId="8" borderId="0" xfId="0" applyNumberFormat="1" applyFont="1" applyFill="1" applyAlignment="1">
      <alignment horizontal="center" vertical="center" wrapText="1" readingOrder="1"/>
    </xf>
    <xf numFmtId="2" fontId="29" fillId="0" borderId="0" xfId="0" applyNumberFormat="1" applyFont="1"/>
    <xf numFmtId="0" fontId="32" fillId="10" borderId="0" xfId="0" applyFont="1" applyFill="1"/>
    <xf numFmtId="2" fontId="32" fillId="10" borderId="0" xfId="0" applyNumberFormat="1" applyFont="1" applyFill="1"/>
    <xf numFmtId="171" fontId="32" fillId="10" borderId="0" xfId="1" applyNumberFormat="1" applyFont="1" applyFill="1" applyBorder="1"/>
    <xf numFmtId="0" fontId="32" fillId="11" borderId="0" xfId="0" applyFont="1" applyFill="1"/>
    <xf numFmtId="2" fontId="32" fillId="11" borderId="0" xfId="0" applyNumberFormat="1" applyFont="1" applyFill="1"/>
    <xf numFmtId="171" fontId="32" fillId="11" borderId="0" xfId="1" applyNumberFormat="1" applyFont="1" applyFill="1" applyBorder="1"/>
    <xf numFmtId="0" fontId="32" fillId="12" borderId="0" xfId="0" applyFont="1" applyFill="1"/>
    <xf numFmtId="2" fontId="32" fillId="12" borderId="0" xfId="0" applyNumberFormat="1" applyFont="1" applyFill="1"/>
    <xf numFmtId="171" fontId="32" fillId="12" borderId="0" xfId="1" applyNumberFormat="1" applyFont="1" applyFill="1"/>
    <xf numFmtId="0" fontId="32" fillId="13" borderId="0" xfId="0" applyFont="1" applyFill="1"/>
    <xf numFmtId="2" fontId="32" fillId="13" borderId="0" xfId="0" applyNumberFormat="1" applyFont="1" applyFill="1"/>
    <xf numFmtId="171" fontId="32" fillId="13" borderId="0" xfId="1" applyNumberFormat="1" applyFont="1" applyFill="1" applyBorder="1"/>
    <xf numFmtId="0" fontId="29" fillId="0" borderId="0" xfId="0" applyFont="1"/>
    <xf numFmtId="171" fontId="29" fillId="0" borderId="0" xfId="1" applyNumberFormat="1" applyFont="1" applyFill="1" applyBorder="1"/>
    <xf numFmtId="0" fontId="33" fillId="3" borderId="3" xfId="7" applyFont="1" applyFill="1" applyBorder="1" applyAlignment="1">
      <alignment vertical="center" wrapText="1"/>
    </xf>
    <xf numFmtId="0" fontId="33" fillId="3" borderId="3" xfId="7" applyFont="1" applyFill="1" applyBorder="1" applyAlignment="1">
      <alignment horizontal="center" vertical="center" wrapText="1"/>
    </xf>
    <xf numFmtId="0" fontId="10" fillId="3" borderId="3" xfId="7" applyFont="1" applyFill="1" applyBorder="1" applyAlignment="1">
      <alignment horizontal="center" vertical="center"/>
    </xf>
    <xf numFmtId="171" fontId="10" fillId="3" borderId="4" xfId="8" applyNumberFormat="1" applyFont="1" applyFill="1" applyBorder="1" applyAlignment="1">
      <alignment horizontal="center" vertical="center"/>
    </xf>
    <xf numFmtId="0" fontId="3" fillId="0" borderId="0" xfId="7"/>
    <xf numFmtId="0" fontId="8" fillId="0" borderId="3" xfId="7" applyFont="1" applyBorder="1" applyAlignment="1">
      <alignment vertical="center" wrapText="1"/>
    </xf>
    <xf numFmtId="0" fontId="8" fillId="0" borderId="3" xfId="7" applyFont="1" applyBorder="1" applyAlignment="1">
      <alignment horizontal="center" vertical="center" wrapText="1"/>
    </xf>
    <xf numFmtId="8" fontId="8" fillId="0" borderId="3" xfId="7" applyNumberFormat="1" applyFont="1" applyBorder="1" applyAlignment="1">
      <alignment horizontal="center" vertical="center" wrapText="1"/>
    </xf>
    <xf numFmtId="8" fontId="3" fillId="0" borderId="3" xfId="7" applyNumberFormat="1" applyBorder="1" applyAlignment="1">
      <alignment horizontal="center" vertical="center"/>
    </xf>
    <xf numFmtId="0" fontId="3" fillId="0" borderId="3" xfId="7" applyBorder="1" applyAlignment="1">
      <alignment horizontal="center" vertical="center"/>
    </xf>
    <xf numFmtId="171" fontId="0" fillId="0" borderId="0" xfId="8" applyNumberFormat="1" applyFont="1"/>
    <xf numFmtId="0" fontId="8" fillId="0" borderId="3" xfId="7" applyFont="1" applyBorder="1" applyAlignment="1">
      <alignment vertical="center"/>
    </xf>
    <xf numFmtId="0" fontId="8" fillId="0" borderId="3" xfId="7" applyFont="1" applyBorder="1" applyAlignment="1">
      <alignment horizontal="center" vertical="center"/>
    </xf>
    <xf numFmtId="8" fontId="8" fillId="0" borderId="3" xfId="7" applyNumberFormat="1" applyFont="1" applyBorder="1" applyAlignment="1">
      <alignment horizontal="center" vertical="center"/>
    </xf>
    <xf numFmtId="8" fontId="8" fillId="0" borderId="8" xfId="7" applyNumberFormat="1" applyFont="1" applyBorder="1" applyAlignment="1">
      <alignment horizontal="center" vertical="center"/>
    </xf>
    <xf numFmtId="8" fontId="3" fillId="0" borderId="8" xfId="7" applyNumberFormat="1" applyBorder="1" applyAlignment="1">
      <alignment horizontal="center" vertical="center"/>
    </xf>
    <xf numFmtId="0" fontId="3" fillId="0" borderId="3" xfId="7" applyBorder="1" applyAlignment="1">
      <alignment vertical="center"/>
    </xf>
    <xf numFmtId="0" fontId="3" fillId="0" borderId="0" xfId="7" applyAlignment="1">
      <alignment horizontal="center"/>
    </xf>
    <xf numFmtId="0" fontId="34" fillId="0" borderId="0" xfId="0" applyFont="1" applyAlignment="1">
      <alignment vertical="top" wrapText="1" readingOrder="1"/>
    </xf>
    <xf numFmtId="164" fontId="34" fillId="0" borderId="0" xfId="0" applyNumberFormat="1" applyFont="1" applyAlignment="1">
      <alignment vertical="top" wrapText="1" readingOrder="1"/>
    </xf>
    <xf numFmtId="2" fontId="34" fillId="0" borderId="0" xfId="0" applyNumberFormat="1" applyFont="1" applyAlignment="1">
      <alignment vertical="top" wrapText="1" readingOrder="1"/>
    </xf>
    <xf numFmtId="0" fontId="34" fillId="0" borderId="0" xfId="0" applyFont="1" applyAlignment="1">
      <alignment horizontal="center" vertical="top" wrapText="1" readingOrder="1"/>
    </xf>
    <xf numFmtId="173" fontId="34" fillId="0" borderId="0" xfId="1" applyNumberFormat="1" applyFont="1" applyFill="1" applyBorder="1" applyAlignment="1">
      <alignment vertical="top" wrapText="1" readingOrder="1"/>
    </xf>
    <xf numFmtId="10" fontId="35" fillId="7" borderId="0" xfId="2" applyNumberFormat="1" applyFont="1" applyFill="1" applyBorder="1" applyAlignment="1">
      <alignment vertical="top" wrapText="1" readingOrder="1"/>
    </xf>
    <xf numFmtId="166" fontId="34" fillId="0" borderId="0" xfId="0" applyNumberFormat="1" applyFont="1" applyAlignment="1">
      <alignment vertical="top" wrapText="1" readingOrder="1"/>
    </xf>
    <xf numFmtId="44" fontId="34" fillId="0" borderId="0" xfId="1" applyFont="1" applyFill="1" applyBorder="1" applyAlignment="1">
      <alignment vertical="top" wrapText="1" readingOrder="1"/>
    </xf>
    <xf numFmtId="171" fontId="36" fillId="0" borderId="0" xfId="1" applyNumberFormat="1" applyFont="1" applyFill="1" applyBorder="1"/>
    <xf numFmtId="171" fontId="32" fillId="0" borderId="0" xfId="1" applyNumberFormat="1" applyFont="1" applyFill="1" applyBorder="1"/>
    <xf numFmtId="0" fontId="32" fillId="0" borderId="0" xfId="0" applyFont="1"/>
    <xf numFmtId="0" fontId="37" fillId="0" borderId="0" xfId="0" applyFont="1"/>
    <xf numFmtId="2" fontId="37" fillId="0" borderId="0" xfId="0" applyNumberFormat="1" applyFont="1"/>
    <xf numFmtId="0" fontId="37" fillId="0" borderId="0" xfId="0" applyFont="1" applyAlignment="1">
      <alignment horizontal="center"/>
    </xf>
    <xf numFmtId="173" fontId="37" fillId="0" borderId="0" xfId="1" applyNumberFormat="1" applyFont="1" applyFill="1" applyBorder="1"/>
    <xf numFmtId="10" fontId="35" fillId="7" borderId="0" xfId="2" applyNumberFormat="1" applyFont="1" applyFill="1" applyBorder="1"/>
    <xf numFmtId="166" fontId="37" fillId="0" borderId="0" xfId="0" applyNumberFormat="1" applyFont="1"/>
    <xf numFmtId="44" fontId="37" fillId="0" borderId="0" xfId="1" applyFont="1" applyFill="1" applyBorder="1"/>
    <xf numFmtId="171" fontId="37" fillId="0" borderId="0" xfId="1" applyNumberFormat="1" applyFont="1" applyFill="1" applyBorder="1"/>
    <xf numFmtId="164" fontId="12" fillId="0" borderId="0" xfId="0" applyNumberFormat="1" applyFont="1" applyAlignment="1">
      <alignment vertical="top" wrapText="1" readingOrder="1"/>
    </xf>
    <xf numFmtId="2" fontId="12" fillId="0" borderId="0" xfId="0" applyNumberFormat="1" applyFont="1" applyAlignment="1">
      <alignment vertical="top" wrapText="1" readingOrder="1"/>
    </xf>
    <xf numFmtId="173" fontId="12" fillId="0" borderId="0" xfId="1" applyNumberFormat="1" applyFont="1" applyFill="1" applyBorder="1" applyAlignment="1">
      <alignment vertical="top" wrapText="1" readingOrder="1"/>
    </xf>
    <xf numFmtId="164" fontId="39" fillId="0" borderId="0" xfId="0" applyNumberFormat="1" applyFont="1" applyAlignment="1">
      <alignment vertical="top" wrapText="1" readingOrder="1"/>
    </xf>
    <xf numFmtId="0" fontId="12" fillId="0" borderId="0" xfId="0" applyFont="1" applyAlignment="1">
      <alignment vertical="top" readingOrder="1"/>
    </xf>
    <xf numFmtId="172" fontId="40" fillId="0" borderId="0" xfId="0" applyNumberFormat="1" applyFont="1" applyAlignment="1">
      <alignment vertical="top" wrapText="1" readingOrder="1"/>
    </xf>
    <xf numFmtId="172" fontId="41" fillId="0" borderId="0" xfId="0" applyNumberFormat="1" applyFont="1" applyAlignment="1">
      <alignment vertical="top" wrapText="1" readingOrder="1"/>
    </xf>
    <xf numFmtId="171" fontId="6" fillId="9" borderId="0" xfId="1" applyNumberFormat="1" applyFont="1" applyFill="1" applyBorder="1" applyAlignment="1">
      <alignment horizontal="center" vertical="center"/>
    </xf>
    <xf numFmtId="171" fontId="6" fillId="9" borderId="0" xfId="1" applyNumberFormat="1" applyFont="1" applyFill="1" applyBorder="1"/>
    <xf numFmtId="171" fontId="32" fillId="9" borderId="0" xfId="1" applyNumberFormat="1" applyFont="1" applyFill="1" applyBorder="1"/>
    <xf numFmtId="171" fontId="37" fillId="9" borderId="0" xfId="1" applyNumberFormat="1" applyFont="1" applyFill="1" applyBorder="1"/>
    <xf numFmtId="10" fontId="15" fillId="0" borderId="0" xfId="2" applyNumberFormat="1" applyFont="1"/>
    <xf numFmtId="173" fontId="7" fillId="14" borderId="0" xfId="1" applyNumberFormat="1" applyFont="1" applyFill="1" applyBorder="1" applyAlignment="1">
      <alignment vertical="top" wrapText="1" readingOrder="1"/>
    </xf>
    <xf numFmtId="0" fontId="2" fillId="2" borderId="0" xfId="3" applyFont="1" applyFill="1"/>
    <xf numFmtId="0" fontId="7" fillId="15" borderId="0" xfId="0" applyFont="1" applyFill="1" applyAlignment="1">
      <alignment vertical="top" wrapText="1" readingOrder="1"/>
    </xf>
    <xf numFmtId="14" fontId="6" fillId="0" borderId="0" xfId="0" applyNumberFormat="1" applyFont="1" applyAlignment="1">
      <alignment horizontal="center" vertical="center"/>
    </xf>
    <xf numFmtId="14" fontId="40" fillId="0" borderId="0" xfId="0" applyNumberFormat="1" applyFont="1" applyAlignment="1">
      <alignment vertical="top" wrapText="1" readingOrder="1"/>
    </xf>
    <xf numFmtId="176" fontId="7" fillId="0" borderId="0" xfId="0" applyNumberFormat="1" applyFont="1" applyAlignment="1">
      <alignment vertical="top" wrapText="1" readingOrder="1"/>
    </xf>
    <xf numFmtId="14" fontId="27" fillId="8" borderId="0" xfId="0" applyNumberFormat="1" applyFont="1" applyFill="1" applyAlignment="1">
      <alignment horizontal="center" vertical="center" wrapText="1" readingOrder="1"/>
    </xf>
    <xf numFmtId="14" fontId="26" fillId="8" borderId="0" xfId="0" applyNumberFormat="1" applyFont="1" applyFill="1" applyAlignment="1">
      <alignment horizontal="center" vertical="center" wrapText="1" readingOrder="1"/>
    </xf>
    <xf numFmtId="14" fontId="41" fillId="0" borderId="0" xfId="0" applyNumberFormat="1" applyFont="1" applyAlignment="1">
      <alignment vertical="top" wrapText="1" readingOrder="1"/>
    </xf>
    <xf numFmtId="14" fontId="37" fillId="0" borderId="0" xfId="0" applyNumberFormat="1" applyFont="1"/>
    <xf numFmtId="14" fontId="6" fillId="0" borderId="0" xfId="0" applyNumberFormat="1" applyFont="1"/>
    <xf numFmtId="1" fontId="27" fillId="8" borderId="0" xfId="0" applyNumberFormat="1" applyFont="1" applyFill="1" applyAlignment="1">
      <alignment horizontal="center" vertical="center" wrapText="1" readingOrder="1"/>
    </xf>
    <xf numFmtId="1" fontId="26" fillId="8" borderId="0" xfId="0" applyNumberFormat="1" applyFont="1" applyFill="1" applyAlignment="1">
      <alignment horizontal="center" vertical="center" wrapText="1" readingOrder="1"/>
    </xf>
    <xf numFmtId="1" fontId="37" fillId="0" borderId="0" xfId="0" applyNumberFormat="1" applyFont="1"/>
    <xf numFmtId="1" fontId="6" fillId="0" borderId="0" xfId="0" applyNumberFormat="1" applyFont="1"/>
    <xf numFmtId="14" fontId="11" fillId="0" borderId="0" xfId="0" applyNumberFormat="1" applyFont="1" applyAlignment="1">
      <alignment horizontal="center" vertical="center"/>
    </xf>
    <xf numFmtId="176" fontId="34" fillId="0" borderId="0" xfId="0" applyNumberFormat="1" applyFont="1" applyAlignment="1">
      <alignment vertical="top" wrapText="1" readingOrder="1"/>
    </xf>
    <xf numFmtId="44" fontId="12" fillId="0" borderId="0" xfId="1" applyFont="1" applyAlignment="1">
      <alignment vertical="top" wrapText="1" readingOrder="1"/>
    </xf>
    <xf numFmtId="173" fontId="7" fillId="16" borderId="0" xfId="1" applyNumberFormat="1" applyFont="1" applyFill="1" applyBorder="1" applyAlignment="1">
      <alignment vertical="top" wrapText="1" readingOrder="1"/>
    </xf>
    <xf numFmtId="177" fontId="15" fillId="0" borderId="0" xfId="2" applyNumberFormat="1" applyFont="1"/>
    <xf numFmtId="0" fontId="1" fillId="2" borderId="0" xfId="3" applyFont="1" applyFill="1"/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 wrapText="1"/>
    </xf>
    <xf numFmtId="0" fontId="3" fillId="0" borderId="9" xfId="7" applyBorder="1" applyAlignment="1">
      <alignment horizontal="center"/>
    </xf>
    <xf numFmtId="0" fontId="3" fillId="0" borderId="5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3" fillId="0" borderId="7" xfId="7" applyBorder="1" applyAlignment="1">
      <alignment horizontal="center" vertical="center"/>
    </xf>
    <xf numFmtId="171" fontId="11" fillId="4" borderId="0" xfId="1" applyNumberFormat="1" applyFont="1" applyFill="1" applyBorder="1" applyAlignment="1">
      <alignment horizontal="center"/>
    </xf>
    <xf numFmtId="171" fontId="11" fillId="10" borderId="0" xfId="1" applyNumberFormat="1" applyFont="1" applyFill="1" applyBorder="1" applyAlignment="1">
      <alignment horizontal="center"/>
    </xf>
  </cellXfs>
  <cellStyles count="9">
    <cellStyle name="Comma 5" xfId="6" xr:uid="{E3D86813-1967-4D1C-BDB6-883078E705A6}"/>
    <cellStyle name="Currency" xfId="1" builtinId="4"/>
    <cellStyle name="Currency 2" xfId="8" xr:uid="{6B9CE2B2-3BDB-44B3-ABBE-1990A49B7606}"/>
    <cellStyle name="Normal" xfId="0" builtinId="0"/>
    <cellStyle name="Normal 2" xfId="7" xr:uid="{4DFE3CAB-0683-4006-A74B-275D5D49D1CD}"/>
    <cellStyle name="Normal 2 2" xfId="5" xr:uid="{59E92746-663D-4133-95E6-696A1CBD83F7}"/>
    <cellStyle name="Normal 3" xfId="3" xr:uid="{995D6107-44D1-444A-82DB-85DC0B858BD6}"/>
    <cellStyle name="Normal 5" xfId="4" xr:uid="{963B7087-692E-4EDE-BDF8-D70E76698AF3}"/>
    <cellStyle name="Percent" xfId="2" builtinId="5"/>
  </cellStyles>
  <dxfs count="21"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6600CC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3"/>
      </font>
      <fill>
        <patternFill>
          <bgColor theme="3" tint="0.59996337778862885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6600CC"/>
      </font>
      <fill>
        <patternFill>
          <bgColor theme="7" tint="0.59996337778862885"/>
        </patternFill>
      </fill>
    </dxf>
    <dxf>
      <font>
        <color theme="3"/>
      </font>
      <fill>
        <patternFill>
          <bgColor theme="3" tint="0.59996337778862885"/>
        </patternFill>
      </fill>
    </dxf>
    <dxf>
      <font>
        <color theme="3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FF0000"/>
      <color rgb="FF0066FF"/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65"/>
  <sheetViews>
    <sheetView zoomScale="90" zoomScaleNormal="90" workbookViewId="0">
      <pane xSplit="11" ySplit="3" topLeftCell="AQ19" activePane="bottomRight" state="frozen"/>
      <selection pane="topRight" activeCell="L1" sqref="L1"/>
      <selection pane="bottomLeft" activeCell="A4" sqref="A4"/>
      <selection pane="bottomRight" activeCell="K22" sqref="K22:K24"/>
    </sheetView>
  </sheetViews>
  <sheetFormatPr defaultRowHeight="14.5" outlineLevelRow="1" x14ac:dyDescent="0.35"/>
  <cols>
    <col min="1" max="1" width="5" bestFit="1" customWidth="1"/>
    <col min="2" max="2" width="11.1796875" bestFit="1" customWidth="1"/>
    <col min="3" max="5" width="5" bestFit="1" customWidth="1"/>
    <col min="6" max="6" width="5" customWidth="1"/>
    <col min="7" max="7" width="7.1796875" style="67" bestFit="1" customWidth="1"/>
    <col min="8" max="8" width="6.453125" style="67" bestFit="1" customWidth="1"/>
    <col min="9" max="9" width="27.1796875" bestFit="1" customWidth="1"/>
    <col min="10" max="10" width="10.1796875" bestFit="1" customWidth="1"/>
    <col min="11" max="11" width="40" customWidth="1"/>
    <col min="12" max="12" width="8.453125" style="75" bestFit="1" customWidth="1"/>
    <col min="13" max="13" width="7.1796875" bestFit="1" customWidth="1"/>
    <col min="14" max="14" width="27.90625" bestFit="1" customWidth="1"/>
    <col min="15" max="16" width="5.6328125" bestFit="1" customWidth="1"/>
    <col min="17" max="17" width="11.26953125" hidden="1" customWidth="1"/>
    <col min="18" max="18" width="11.26953125" style="202" bestFit="1" customWidth="1"/>
    <col min="19" max="19" width="10.453125" style="206" bestFit="1" customWidth="1"/>
    <col min="20" max="20" width="10.453125" bestFit="1" customWidth="1"/>
    <col min="21" max="21" width="12.26953125" bestFit="1" customWidth="1"/>
    <col min="22" max="22" width="11.453125" style="71" bestFit="1" customWidth="1"/>
    <col min="23" max="23" width="8.54296875" style="73" customWidth="1"/>
    <col min="24" max="24" width="10.26953125" style="71" bestFit="1" customWidth="1"/>
    <col min="25" max="25" width="8.54296875" style="73" customWidth="1"/>
    <col min="26" max="26" width="6.7265625" bestFit="1" customWidth="1"/>
    <col min="27" max="27" width="10.453125" style="113" bestFit="1" customWidth="1"/>
    <col min="28" max="28" width="5.7265625" style="75" customWidth="1"/>
    <col min="29" max="29" width="9.26953125" style="69" bestFit="1" customWidth="1"/>
    <col min="30" max="30" width="9.1796875" style="69" bestFit="1" customWidth="1"/>
    <col min="31" max="31" width="7.7265625" style="69" customWidth="1"/>
    <col min="32" max="32" width="7.7265625" style="69" bestFit="1" customWidth="1"/>
    <col min="33" max="33" width="8.81640625" style="69" customWidth="1"/>
    <col min="34" max="34" width="8.1796875" style="69" bestFit="1" customWidth="1"/>
    <col min="35" max="35" width="9.26953125" style="69" customWidth="1"/>
    <col min="36" max="36" width="8.26953125" bestFit="1" customWidth="1"/>
    <col min="37" max="37" width="19.453125" bestFit="1" customWidth="1"/>
    <col min="38" max="38" width="7.453125" bestFit="1" customWidth="1"/>
    <col min="39" max="39" width="10.54296875" bestFit="1" customWidth="1"/>
    <col min="40" max="40" width="12.1796875" style="188" customWidth="1"/>
    <col min="41" max="41" width="12.54296875" bestFit="1" customWidth="1"/>
    <col min="42" max="45" width="12.1796875" style="77" bestFit="1" customWidth="1"/>
    <col min="46" max="46" width="12.1796875" bestFit="1" customWidth="1"/>
    <col min="47" max="47" width="12.1796875" style="77" bestFit="1" customWidth="1"/>
    <col min="48" max="54" width="12.1796875" bestFit="1" customWidth="1"/>
    <col min="55" max="55" width="12.1796875" style="77" bestFit="1" customWidth="1"/>
    <col min="56" max="64" width="12.1796875" bestFit="1" customWidth="1"/>
    <col min="65" max="65" width="8" bestFit="1" customWidth="1"/>
    <col min="66" max="69" width="12.1796875" bestFit="1" customWidth="1"/>
    <col min="70" max="70" width="13.26953125" bestFit="1" customWidth="1"/>
  </cols>
  <sheetData>
    <row r="1" spans="1:70" s="102" customFormat="1" x14ac:dyDescent="0.35">
      <c r="G1" s="103"/>
      <c r="H1" s="103"/>
      <c r="R1" s="207"/>
      <c r="S1" s="195">
        <v>44834</v>
      </c>
      <c r="T1" s="195">
        <v>45199</v>
      </c>
      <c r="V1" s="104"/>
      <c r="W1" s="105"/>
      <c r="X1" s="104"/>
      <c r="Y1" s="105"/>
      <c r="AA1" s="109"/>
      <c r="AC1" s="106"/>
      <c r="AD1" s="106"/>
      <c r="AE1" s="106"/>
      <c r="AF1" s="106"/>
      <c r="AG1" s="106"/>
      <c r="AH1" s="106"/>
      <c r="AI1" s="106"/>
      <c r="AN1" s="187"/>
      <c r="AO1" s="102">
        <v>8001</v>
      </c>
      <c r="AP1" s="107" t="s">
        <v>393</v>
      </c>
      <c r="AQ1" s="107" t="s">
        <v>394</v>
      </c>
      <c r="AR1" s="107" t="s">
        <v>395</v>
      </c>
      <c r="AS1" s="107" t="s">
        <v>396</v>
      </c>
      <c r="AT1" s="108" t="s">
        <v>397</v>
      </c>
      <c r="AU1" s="107" t="s">
        <v>398</v>
      </c>
      <c r="AV1" s="108" t="s">
        <v>399</v>
      </c>
      <c r="AW1" s="108" t="s">
        <v>400</v>
      </c>
      <c r="AX1" s="108" t="s">
        <v>401</v>
      </c>
      <c r="AY1" s="108" t="s">
        <v>401</v>
      </c>
      <c r="AZ1" s="108" t="s">
        <v>401</v>
      </c>
      <c r="BA1" s="108" t="s">
        <v>401</v>
      </c>
      <c r="BB1" s="108" t="s">
        <v>401</v>
      </c>
      <c r="BC1" s="107" t="s">
        <v>401</v>
      </c>
      <c r="BE1" s="102">
        <v>8003</v>
      </c>
      <c r="BF1" s="102">
        <v>8004</v>
      </c>
      <c r="BG1" s="108" t="s">
        <v>402</v>
      </c>
      <c r="BH1" s="108" t="s">
        <v>403</v>
      </c>
      <c r="BI1" s="108" t="s">
        <v>404</v>
      </c>
      <c r="BJ1" s="108" t="s">
        <v>405</v>
      </c>
      <c r="BK1" s="108" t="s">
        <v>406</v>
      </c>
      <c r="BL1" s="102">
        <v>8008</v>
      </c>
      <c r="BM1" s="102">
        <v>8009</v>
      </c>
      <c r="BN1" s="102">
        <v>8010</v>
      </c>
      <c r="BO1" s="102">
        <v>8015</v>
      </c>
      <c r="BP1" s="102">
        <v>8030</v>
      </c>
      <c r="BQ1" s="102">
        <v>8035</v>
      </c>
    </row>
    <row r="2" spans="1:70" s="100" customFormat="1" ht="52" x14ac:dyDescent="0.35">
      <c r="A2" s="94" t="s">
        <v>322</v>
      </c>
      <c r="B2" s="94" t="s">
        <v>323</v>
      </c>
      <c r="C2" s="94" t="s">
        <v>324</v>
      </c>
      <c r="D2" s="94" t="s">
        <v>325</v>
      </c>
      <c r="E2" s="94" t="s">
        <v>326</v>
      </c>
      <c r="F2" s="94" t="s">
        <v>327</v>
      </c>
      <c r="G2" s="95" t="s">
        <v>0</v>
      </c>
      <c r="H2" s="95" t="s">
        <v>328</v>
      </c>
      <c r="I2" s="94" t="s">
        <v>1</v>
      </c>
      <c r="J2" s="94" t="s">
        <v>2</v>
      </c>
      <c r="K2" s="94" t="s">
        <v>3</v>
      </c>
      <c r="L2" s="94" t="s">
        <v>329</v>
      </c>
      <c r="M2" s="94" t="s">
        <v>330</v>
      </c>
      <c r="N2" s="94" t="s">
        <v>331</v>
      </c>
      <c r="O2" s="94" t="s">
        <v>332</v>
      </c>
      <c r="P2" s="94" t="s">
        <v>333</v>
      </c>
      <c r="Q2" s="96" t="s">
        <v>334</v>
      </c>
      <c r="R2" s="198" t="s">
        <v>334</v>
      </c>
      <c r="S2" s="203" t="s">
        <v>601</v>
      </c>
      <c r="T2" s="94" t="s">
        <v>335</v>
      </c>
      <c r="U2" s="94" t="s">
        <v>4</v>
      </c>
      <c r="V2" s="97" t="s">
        <v>336</v>
      </c>
      <c r="W2" s="98"/>
      <c r="X2" s="97" t="s">
        <v>337</v>
      </c>
      <c r="Y2" s="98"/>
      <c r="Z2" s="94" t="s">
        <v>338</v>
      </c>
      <c r="AA2" s="110" t="s">
        <v>340</v>
      </c>
      <c r="AB2" s="94" t="s">
        <v>339</v>
      </c>
      <c r="AC2" s="99" t="s">
        <v>318</v>
      </c>
      <c r="AD2" s="99" t="s">
        <v>364</v>
      </c>
      <c r="AE2" s="99" t="s">
        <v>365</v>
      </c>
      <c r="AF2" s="99" t="s">
        <v>319</v>
      </c>
      <c r="AG2" s="99" t="s">
        <v>366</v>
      </c>
      <c r="AH2" s="99" t="s">
        <v>320</v>
      </c>
      <c r="AI2" s="99" t="s">
        <v>321</v>
      </c>
      <c r="AJ2" s="94" t="s">
        <v>341</v>
      </c>
      <c r="AK2" s="94" t="s">
        <v>342</v>
      </c>
      <c r="AL2" s="94" t="s">
        <v>343</v>
      </c>
      <c r="AM2" s="100" t="s">
        <v>360</v>
      </c>
      <c r="AN2" s="101" t="s">
        <v>361</v>
      </c>
      <c r="AO2" s="100" t="s">
        <v>362</v>
      </c>
      <c r="AP2" s="101" t="s">
        <v>318</v>
      </c>
      <c r="AQ2" s="101" t="s">
        <v>364</v>
      </c>
      <c r="AR2" s="101" t="s">
        <v>367</v>
      </c>
      <c r="AS2" s="101" t="s">
        <v>368</v>
      </c>
      <c r="AT2" s="100" t="s">
        <v>319</v>
      </c>
      <c r="AU2" s="101" t="s">
        <v>320</v>
      </c>
      <c r="AV2" s="100" t="s">
        <v>369</v>
      </c>
      <c r="AW2" s="100" t="s">
        <v>370</v>
      </c>
      <c r="AX2" s="100" t="s">
        <v>371</v>
      </c>
      <c r="AY2" s="100" t="s">
        <v>372</v>
      </c>
      <c r="AZ2" s="100" t="s">
        <v>373</v>
      </c>
      <c r="BA2" s="100" t="s">
        <v>374</v>
      </c>
      <c r="BB2" s="100" t="s">
        <v>375</v>
      </c>
      <c r="BC2" s="101" t="s">
        <v>376</v>
      </c>
      <c r="BD2" s="100" t="s">
        <v>377</v>
      </c>
      <c r="BE2" s="100" t="s">
        <v>378</v>
      </c>
      <c r="BF2" s="100" t="s">
        <v>379</v>
      </c>
      <c r="BG2" s="100" t="s">
        <v>380</v>
      </c>
      <c r="BH2" s="100" t="s">
        <v>381</v>
      </c>
      <c r="BI2" s="100" t="s">
        <v>383</v>
      </c>
      <c r="BJ2" s="100" t="s">
        <v>343</v>
      </c>
      <c r="BK2" s="100" t="s">
        <v>384</v>
      </c>
      <c r="BL2" s="100" t="s">
        <v>385</v>
      </c>
      <c r="BM2" s="100" t="s">
        <v>386</v>
      </c>
      <c r="BN2" s="100" t="s">
        <v>392</v>
      </c>
      <c r="BO2" s="100" t="s">
        <v>387</v>
      </c>
      <c r="BP2" s="100" t="s">
        <v>388</v>
      </c>
      <c r="BQ2" s="100" t="s">
        <v>389</v>
      </c>
      <c r="BR2" s="100" t="s">
        <v>390</v>
      </c>
    </row>
    <row r="3" spans="1:70" s="82" customFormat="1" x14ac:dyDescent="0.35">
      <c r="A3" s="84"/>
      <c r="B3" s="84"/>
      <c r="C3" s="84"/>
      <c r="D3" s="84"/>
      <c r="E3" s="84"/>
      <c r="F3" s="84"/>
      <c r="G3" s="85"/>
      <c r="H3" s="85"/>
      <c r="I3" s="84"/>
      <c r="J3" s="84"/>
      <c r="K3" s="84"/>
      <c r="L3" s="84"/>
      <c r="M3" s="84"/>
      <c r="N3" s="84"/>
      <c r="O3" s="84"/>
      <c r="P3" s="84"/>
      <c r="Q3" s="86"/>
      <c r="R3" s="199"/>
      <c r="S3" s="204"/>
      <c r="T3" s="84"/>
      <c r="U3" s="84"/>
      <c r="V3" s="87"/>
      <c r="W3" s="88"/>
      <c r="X3" s="87"/>
      <c r="Y3" s="88"/>
      <c r="Z3" s="84"/>
      <c r="AA3" s="111"/>
      <c r="AB3" s="84"/>
      <c r="AC3" s="89"/>
      <c r="AD3" s="89"/>
      <c r="AE3" s="89"/>
      <c r="AF3" s="89"/>
      <c r="AG3" s="89"/>
      <c r="AH3" s="89"/>
      <c r="AI3" s="89"/>
      <c r="AJ3" s="84"/>
      <c r="AK3" s="84"/>
      <c r="AL3" s="84"/>
      <c r="AN3" s="90"/>
      <c r="AP3" s="90"/>
      <c r="AQ3" s="90"/>
      <c r="AR3" s="90"/>
      <c r="AS3" s="90"/>
      <c r="AU3" s="90"/>
      <c r="AX3" s="81">
        <v>0</v>
      </c>
      <c r="AY3" s="81">
        <v>0</v>
      </c>
      <c r="AZ3" s="81">
        <v>0</v>
      </c>
      <c r="BA3" s="81">
        <v>0</v>
      </c>
      <c r="BB3" s="81">
        <v>0</v>
      </c>
      <c r="BC3" s="90"/>
      <c r="BF3" s="83">
        <v>1E-4</v>
      </c>
      <c r="BG3" s="82" t="s">
        <v>382</v>
      </c>
      <c r="BH3" s="82" t="s">
        <v>382</v>
      </c>
      <c r="BI3" s="82" t="s">
        <v>382</v>
      </c>
      <c r="BJ3" s="82" t="s">
        <v>382</v>
      </c>
      <c r="BK3" s="81">
        <v>0.16950000000000001</v>
      </c>
      <c r="BL3" s="82" t="s">
        <v>382</v>
      </c>
      <c r="BM3" s="92">
        <v>1.6E-2</v>
      </c>
      <c r="BN3" s="92">
        <v>1.4500000000000001E-2</v>
      </c>
      <c r="BO3" s="93">
        <v>1.8E-3</v>
      </c>
      <c r="BP3" s="82" t="s">
        <v>391</v>
      </c>
    </row>
    <row r="4" spans="1:70" outlineLevel="1" x14ac:dyDescent="0.35">
      <c r="A4" s="1" t="s">
        <v>6</v>
      </c>
      <c r="B4" s="1" t="s">
        <v>7</v>
      </c>
      <c r="C4" s="1" t="s">
        <v>8</v>
      </c>
      <c r="D4" s="1" t="s">
        <v>9</v>
      </c>
      <c r="E4" s="1" t="s">
        <v>9</v>
      </c>
      <c r="F4" s="2">
        <v>1</v>
      </c>
      <c r="G4" s="66">
        <v>1</v>
      </c>
      <c r="H4" s="66">
        <v>1</v>
      </c>
      <c r="I4" s="1" t="s">
        <v>611</v>
      </c>
      <c r="J4" s="1" t="s">
        <v>612</v>
      </c>
      <c r="K4" s="1" t="s">
        <v>17</v>
      </c>
      <c r="L4" s="76" t="str">
        <f>IF(M4="","N",STEP!$J$22)</f>
        <v>N</v>
      </c>
      <c r="M4" s="1" t="s">
        <v>11</v>
      </c>
      <c r="N4" s="1" t="s">
        <v>11</v>
      </c>
      <c r="O4" s="1" t="s">
        <v>11</v>
      </c>
      <c r="P4" s="1"/>
      <c r="Q4" s="185">
        <v>20220307</v>
      </c>
      <c r="R4" s="196">
        <v>44262</v>
      </c>
      <c r="S4" s="197">
        <f>IF(A4="FT",IF(R4&gt;$S$1,0,(DATEDIF(R4,$S$1,"M"))),0)</f>
        <v>18</v>
      </c>
      <c r="T4" s="66">
        <f>ROUNDDOWN(IF(A4="FT",DATEDIF(R4,$T$1,"y"),0),0)</f>
        <v>2</v>
      </c>
      <c r="U4" s="1" t="s">
        <v>12</v>
      </c>
      <c r="V4" s="70">
        <v>79.807699999999997</v>
      </c>
      <c r="W4" s="74"/>
      <c r="X4" s="70"/>
      <c r="Y4" s="74"/>
      <c r="Z4" s="1">
        <v>8810</v>
      </c>
      <c r="AA4" s="112">
        <f>VLOOKUP(Z4,'WRK COMP'!$A$1:$E$17,5,FALSE)</f>
        <v>1.0169999999999999E-3</v>
      </c>
      <c r="AB4" s="76" t="s">
        <v>13</v>
      </c>
      <c r="AC4" s="68">
        <v>0</v>
      </c>
      <c r="AD4" s="68">
        <v>0</v>
      </c>
      <c r="AE4" s="68">
        <v>0</v>
      </c>
      <c r="AF4" s="68">
        <v>0</v>
      </c>
      <c r="AG4" s="68">
        <v>0</v>
      </c>
      <c r="AH4" s="68">
        <v>12.5</v>
      </c>
      <c r="AI4" s="68">
        <v>0</v>
      </c>
      <c r="AJ4" t="s">
        <v>49</v>
      </c>
      <c r="AK4" s="1" t="s">
        <v>49</v>
      </c>
      <c r="AL4" s="1" t="s">
        <v>16</v>
      </c>
      <c r="AM4" s="78">
        <f>IF(F4&gt;0.79,IF(ROUNDUP(IF(B4="FS",(V4*HRS!$B$9),(V4*HRS!$L$2))*2,-3)&gt;150000,150000,(ROUNDUP(IF(B4="FS",(V4*HRS!$B$9),(V4*HRS!$L$2))*2,-3))),0)</f>
        <v>150000</v>
      </c>
      <c r="AN4" s="188">
        <f t="shared" ref="AN4:AN7" si="0">SUM(AO4:BB4)</f>
        <v>166601</v>
      </c>
      <c r="AO4" s="77">
        <f>IF(B4="CM",HRS!#REF!,IF(L4="N",IF(B4="FS",ROUNDUP($V4*HRS!$B$9*'Position Control'!F4,0),ROUNDUP('Position Control'!$V4*HRS!$L$2*'Position Control'!F4,0)),IF('Position Control'!B4="FS",ROUNDUP(('Position Control'!V4*HRS!$B$9*'Position Control'!W4*'Position Control'!F4)+('Position Control'!X4*HRS!$B$9*'Position Control'!Y4*'Position Control'!F4),0),ROUNDUP(('Position Control'!V4*HRS!$L$2*'Position Control'!W4*'Position Control'!F4)+('Position Control'!X4*HRS!$L$2*'Position Control'!Y4*'Position Control'!F4),0))))*'Position Control'!H4</f>
        <v>166001</v>
      </c>
      <c r="AP4" s="77">
        <f>ROUNDUP(52*AC4,0)*H4</f>
        <v>0</v>
      </c>
      <c r="AQ4" s="77">
        <f>IF(B4="FS",ROUNDUP(24*AD4,0),IF(B4="POL",ROUNDUP(26*AD4,0),ROUNDUP(52*AD4,0)))*$H4</f>
        <v>0</v>
      </c>
      <c r="AR4" s="77">
        <f>IF(B4="FS",ROUNDUP(AG4*24,0),ROUNDUP(52*AG4,0))*H4</f>
        <v>0</v>
      </c>
      <c r="AS4" s="77">
        <v>0</v>
      </c>
      <c r="AT4" s="79">
        <f>ROUNDUP(26*AF4,0)*H4</f>
        <v>0</v>
      </c>
      <c r="AU4" s="77">
        <f>IF(B4="FS",ROUNDUP(24*AH4,0),IF(B4="POL",ROUNDUP(26*AH4,0),ROUNDUP(48*AH4,0)))*$H4</f>
        <v>600</v>
      </c>
      <c r="AV4" s="77">
        <v>0</v>
      </c>
      <c r="AW4" s="77">
        <f>IF(B4="FS",ROUNDUP(24*AE4,0),IF(B4="POL",ROUNDUP(26*AE4,0),ROUNDUP(52*AE4,0)))*$H4</f>
        <v>0</v>
      </c>
      <c r="AX4" s="77">
        <f>IF(AND(Q4&lt;20220401,A4&lt;&gt;"SP"),($AX$3*(AO4+BE4)),0)</f>
        <v>0</v>
      </c>
      <c r="AY4" s="77">
        <f>IF(AND($L4="N",$Q4&lt;20220401,$A4&lt;&gt;"SP",$AO4&lt;100000),($AY$3*($AO4+$BE4)),0)</f>
        <v>0</v>
      </c>
      <c r="AZ4" s="77">
        <f>IF(AND($L4="N",$Q4&lt;20220401,$A4&lt;&gt;"SP",$AO4&gt;100000),($AZ$3*($AO4+$BE4)),0)</f>
        <v>0</v>
      </c>
      <c r="BA4" s="77">
        <f>IF(AND($L4="N",$Q4&lt;20220401,$A4&lt;&gt;"SP"),($BA$3*($AO4+$BE4)),0)</f>
        <v>0</v>
      </c>
      <c r="BB4" s="77">
        <f>IF(AND($L4="Y",$Q4&lt;20220401,$A4&lt;&gt;"SP"),($BB$3*($AO4+$BE4)),0)</f>
        <v>0</v>
      </c>
      <c r="BC4" s="77">
        <f t="shared" ref="BC4:BC32" si="1">SUM(AX4:BB4)</f>
        <v>0</v>
      </c>
      <c r="BD4" s="77">
        <f>IF($S4&gt;=12,IF(($S4*5)&gt;1200,1200,$S4*5),0)*$H4</f>
        <v>90</v>
      </c>
      <c r="BE4" s="77">
        <v>0</v>
      </c>
      <c r="BF4" s="77">
        <f>$AM4*$BF$3*12*$H4</f>
        <v>180</v>
      </c>
      <c r="BG4" s="77">
        <f>VLOOKUP($AJ4,BENE!$I$2:$N$9,6,FALSE)*'Position Control'!$H4</f>
        <v>0</v>
      </c>
      <c r="BH4" s="77">
        <f>VLOOKUP($AK4,BENE!$A$2:$F$19,6,FALSE)*'Position Control'!$H4</f>
        <v>0</v>
      </c>
      <c r="BI4" s="77">
        <f>VLOOKUP($AK4,BENE!$A$2:$G$19,7,FALSE)*'Position Control'!$H4</f>
        <v>0</v>
      </c>
      <c r="BJ4" s="77">
        <f>VLOOKUP($AL4,BENE!$P$2:$S$6,4,FALSE)*'Position Control'!$H4</f>
        <v>240</v>
      </c>
      <c r="BK4" s="77">
        <f>IF($F4&gt;HRS!$H$2,ROUNDUP(((($AN4+$BE4)*$BK$3)/12*9)+(($AN4+$BE4)*HRS!$B$10/12*3),0),0)*$H4</f>
        <v>28089</v>
      </c>
      <c r="BL4" s="80">
        <f>ROUNDUP($AN4*$AA4,0)*$H4</f>
        <v>170</v>
      </c>
      <c r="BM4" s="77">
        <f>ROUNDUP(IF($AN4&gt;9000,$BM$3*9000,$BM$3*$AN4),0)*$H4</f>
        <v>144</v>
      </c>
      <c r="BN4" s="77">
        <f>IF($AB4="Y",ROUNDUP($AN4*$BN$3,0),0)*$H4</f>
        <v>2416</v>
      </c>
      <c r="BO4" s="77">
        <f>IF($A4&lt;&gt;"SP",ROUND($BO$3*$AN4,0)*$H4,0)</f>
        <v>300</v>
      </c>
      <c r="BP4" s="77">
        <f>IF($T4&gt;24,2000,IF($T4&gt;19,1750,IF($T4&gt;14,1500,IF($T4&gt;9.9999999999999,1000,0))))*$H4</f>
        <v>0</v>
      </c>
      <c r="BQ4" s="77">
        <v>0</v>
      </c>
      <c r="BR4" s="80">
        <f t="shared" ref="BR4:BR7" si="2">SUM(AO4:AW4)+SUM(BC4:BQ4)</f>
        <v>198230</v>
      </c>
    </row>
    <row r="5" spans="1:70" outlineLevel="1" x14ac:dyDescent="0.35">
      <c r="A5" s="1" t="s">
        <v>6</v>
      </c>
      <c r="B5" s="1" t="s">
        <v>7</v>
      </c>
      <c r="C5" s="1" t="s">
        <v>8</v>
      </c>
      <c r="D5" s="1" t="s">
        <v>9</v>
      </c>
      <c r="E5" s="1" t="s">
        <v>9</v>
      </c>
      <c r="F5" s="2">
        <v>1</v>
      </c>
      <c r="G5" s="66">
        <v>1</v>
      </c>
      <c r="H5" s="66">
        <v>1</v>
      </c>
      <c r="I5" s="1" t="s">
        <v>611</v>
      </c>
      <c r="J5" s="1" t="s">
        <v>612</v>
      </c>
      <c r="K5" s="1" t="s">
        <v>20</v>
      </c>
      <c r="L5" s="76" t="str">
        <f>IF(M5="","N",STEP!$J$22)</f>
        <v>N</v>
      </c>
      <c r="M5" s="1" t="s">
        <v>11</v>
      </c>
      <c r="N5" s="1" t="s">
        <v>11</v>
      </c>
      <c r="O5" s="1" t="s">
        <v>11</v>
      </c>
      <c r="P5" s="1"/>
      <c r="Q5" s="185">
        <v>20151202</v>
      </c>
      <c r="R5" s="196">
        <v>41245</v>
      </c>
      <c r="S5" s="197">
        <f>IF(A5="FT",IF(R5&gt;$S$1,0,(DATEDIF(R5,$S$1,"M"))),0)</f>
        <v>117</v>
      </c>
      <c r="T5" s="66">
        <f>ROUNDDOWN(IF(A5="FT",DATEDIF(R5,$T$1,"y"),0),0)</f>
        <v>10</v>
      </c>
      <c r="U5" s="1" t="s">
        <v>12</v>
      </c>
      <c r="V5" s="70">
        <v>41.913400000000003</v>
      </c>
      <c r="W5" s="74"/>
      <c r="X5" s="70"/>
      <c r="Y5" s="74"/>
      <c r="Z5" s="1">
        <v>8810</v>
      </c>
      <c r="AA5" s="112">
        <f>VLOOKUP(Z5,'WRK COMP'!$A$1:$E$17,5,FALSE)</f>
        <v>1.0169999999999999E-3</v>
      </c>
      <c r="AB5" s="76" t="s">
        <v>13</v>
      </c>
      <c r="AC5" s="68">
        <v>0</v>
      </c>
      <c r="AD5" s="68">
        <v>0</v>
      </c>
      <c r="AE5" s="68">
        <v>0</v>
      </c>
      <c r="AF5" s="68">
        <v>0</v>
      </c>
      <c r="AG5" s="68">
        <v>0</v>
      </c>
      <c r="AH5" s="68">
        <v>12.5</v>
      </c>
      <c r="AI5" s="68">
        <v>0</v>
      </c>
      <c r="AJ5" s="1" t="s">
        <v>14</v>
      </c>
      <c r="AK5" s="1" t="s">
        <v>15</v>
      </c>
      <c r="AL5" s="1" t="s">
        <v>16</v>
      </c>
      <c r="AM5" s="78">
        <f>IF(F5&gt;0.79,IF(ROUNDUP(IF(B5="FS",(V5*HRS!$B$9),(V5*HRS!$L$2))*2,-3)&gt;150000,150000,(ROUNDUP(IF(B5="FS",(V5*HRS!$B$9),(V5*HRS!$L$2))*2,-3))),0)</f>
        <v>150000</v>
      </c>
      <c r="AN5" s="188">
        <f t="shared" si="0"/>
        <v>87780</v>
      </c>
      <c r="AO5" s="77">
        <f>IF(B5="CM",HRS!#REF!,IF(L5="N",IF(B5="FS",ROUNDUP($V5*HRS!$B$9*'Position Control'!F5,0),ROUNDUP('Position Control'!$V5*HRS!$L$2*'Position Control'!F5,0)),IF('Position Control'!B5="FS",ROUNDUP(('Position Control'!V5*HRS!$B$9*'Position Control'!W5*'Position Control'!F5)+('Position Control'!X5*HRS!$B$9*'Position Control'!Y5*'Position Control'!F5),0),ROUNDUP(('Position Control'!V5*HRS!$L$2*'Position Control'!W5*'Position Control'!F5)+('Position Control'!X5*HRS!$L$2*'Position Control'!Y5*'Position Control'!F5),0))))*'Position Control'!H5</f>
        <v>87180</v>
      </c>
      <c r="AP5" s="77">
        <f>ROUNDUP(52*AC5,0)*H5</f>
        <v>0</v>
      </c>
      <c r="AQ5" s="77">
        <f>IF(B5="FS",ROUNDUP(24*AD5,0),IF(B5="POL",ROUNDUP(26*AD5,0),ROUNDUP(52*AD5,0)))*$H5</f>
        <v>0</v>
      </c>
      <c r="AR5" s="77">
        <f>IF(B5="FS",ROUNDUP(AG5*24,0),ROUNDUP(52*AG5,0))*H5</f>
        <v>0</v>
      </c>
      <c r="AS5" s="77">
        <v>0</v>
      </c>
      <c r="AT5" s="79">
        <f>ROUNDUP(26*AF5,0)*H5</f>
        <v>0</v>
      </c>
      <c r="AU5" s="77">
        <f>IF(B5="FS",ROUNDUP(24*AH5,0),IF(B5="POL",ROUNDUP(26*AH5,0),ROUNDUP(48*AH5,0)))*$H5</f>
        <v>600</v>
      </c>
      <c r="AV5" s="77">
        <v>0</v>
      </c>
      <c r="AW5" s="77">
        <f>IF(B5="FS",ROUNDUP(24*AE5,0),IF(B5="POL",ROUNDUP(26*AE5,0),ROUNDUP(52*AE5,0)))*$H5</f>
        <v>0</v>
      </c>
      <c r="AX5" s="77">
        <f>IF(AND(Q5&lt;20220401,A5&lt;&gt;"SP"),($AX$3*(AO5+BE5)),0)</f>
        <v>0</v>
      </c>
      <c r="AY5" s="77">
        <f>IF(AND($L5="N",$Q5&lt;20220401,$A5&lt;&gt;"SP",$AO5&lt;100000),($AY$3*($AO5+$BE5)),0)</f>
        <v>0</v>
      </c>
      <c r="AZ5" s="77">
        <f>IF(AND($L5="N",$Q5&lt;20220401,$A5&lt;&gt;"SP",$AO5&gt;100000),($AZ$3*($AO5+$BE5)),0)</f>
        <v>0</v>
      </c>
      <c r="BA5" s="77">
        <f>IF(AND($L5="N",$Q5&lt;20220401,$A5&lt;&gt;"SP"),($BA$3*($AO5+$BE5)),0)</f>
        <v>0</v>
      </c>
      <c r="BB5" s="77">
        <f>IF(AND($L5="Y",$Q5&lt;20220401,$A5&lt;&gt;"SP"),($BB$3*($AO5+$BE5)),0)</f>
        <v>0</v>
      </c>
      <c r="BC5" s="77">
        <f t="shared" si="1"/>
        <v>0</v>
      </c>
      <c r="BD5" s="77">
        <f>IF($S5&gt;=12,IF(($S5*5)&gt;1200,1200,$S5*5),0)*$H5</f>
        <v>585</v>
      </c>
      <c r="BE5" s="77">
        <v>0</v>
      </c>
      <c r="BF5" s="77">
        <f>$AM5*$BF$3*12*$H5</f>
        <v>180</v>
      </c>
      <c r="BG5" s="77">
        <f>VLOOKUP($AJ5,BENE!$I$2:$N$9,6,FALSE)*'Position Control'!$H5</f>
        <v>389</v>
      </c>
      <c r="BH5" s="77">
        <f>VLOOKUP($AK5,BENE!$A$2:$F$19,6,FALSE)*'Position Control'!$H5</f>
        <v>6142</v>
      </c>
      <c r="BI5" s="77">
        <f>VLOOKUP($AK5,BENE!$A$2:$G$19,7,FALSE)*'Position Control'!$H5</f>
        <v>1000</v>
      </c>
      <c r="BJ5" s="77">
        <f>VLOOKUP($AL5,BENE!$P$2:$S$6,4,FALSE)*'Position Control'!$H5</f>
        <v>240</v>
      </c>
      <c r="BK5" s="77">
        <f>IF($F5&gt;HRS!$H$2,ROUNDUP(((($AN5+$BE5)*$BK$3)/12*9)+(($AN5+$BE5)*HRS!$B$10/12*3),0),0)*$H5</f>
        <v>14800</v>
      </c>
      <c r="BL5" s="80">
        <f>ROUNDUP($AN5*$AA5,0)*$H5</f>
        <v>90</v>
      </c>
      <c r="BM5" s="77">
        <f>ROUNDUP(IF($AN5&gt;9000,$BM$3*9000,$BM$3*$AN5),0)*$H5</f>
        <v>144</v>
      </c>
      <c r="BN5" s="77">
        <f>IF($AB5="Y",ROUNDUP($AN5*$BN$3,0),0)*$H5</f>
        <v>1273</v>
      </c>
      <c r="BO5" s="77">
        <f>IF($A5&lt;&gt;"SP",ROUND($BO$3*$AN5,0)*$H5,0)</f>
        <v>158</v>
      </c>
      <c r="BP5" s="77">
        <f>IF($T5&gt;24,2000,IF($T5&gt;19,1750,IF($T5&gt;14,1500,IF($T5&gt;9.9999999999999,1000,0))))*$H5</f>
        <v>1000</v>
      </c>
      <c r="BQ5" s="77">
        <v>0</v>
      </c>
      <c r="BR5" s="80">
        <f t="shared" si="2"/>
        <v>113781</v>
      </c>
    </row>
    <row r="6" spans="1:70" outlineLevel="1" x14ac:dyDescent="0.35">
      <c r="A6" s="1" t="s">
        <v>6</v>
      </c>
      <c r="B6" s="1" t="s">
        <v>7</v>
      </c>
      <c r="C6" s="1" t="s">
        <v>8</v>
      </c>
      <c r="D6" s="1" t="s">
        <v>9</v>
      </c>
      <c r="E6" s="1" t="s">
        <v>9</v>
      </c>
      <c r="F6" s="2">
        <v>1</v>
      </c>
      <c r="G6" s="66">
        <v>1</v>
      </c>
      <c r="H6" s="66">
        <v>1</v>
      </c>
      <c r="I6" s="1" t="s">
        <v>611</v>
      </c>
      <c r="J6" s="1" t="s">
        <v>612</v>
      </c>
      <c r="K6" s="1" t="s">
        <v>10</v>
      </c>
      <c r="L6" s="76" t="str">
        <f>IF(M6="","N",STEP!$J$22)</f>
        <v>N</v>
      </c>
      <c r="M6" s="1" t="s">
        <v>11</v>
      </c>
      <c r="N6" s="1" t="s">
        <v>11</v>
      </c>
      <c r="O6" s="1" t="s">
        <v>11</v>
      </c>
      <c r="P6" s="1"/>
      <c r="Q6" s="185">
        <v>20220404</v>
      </c>
      <c r="R6" s="196">
        <v>44655</v>
      </c>
      <c r="S6" s="197">
        <f>IF(A6="FT",IF(R6&gt;$S$1,0,(DATEDIF(R6,$S$1,"M"))),0)</f>
        <v>5</v>
      </c>
      <c r="T6" s="66">
        <f>ROUNDDOWN(IF(A6="FT",DATEDIF(R6,$T$1,"y"),0),0)</f>
        <v>1</v>
      </c>
      <c r="U6" s="1" t="s">
        <v>12</v>
      </c>
      <c r="V6" s="70">
        <v>30.365400000000001</v>
      </c>
      <c r="W6" s="74"/>
      <c r="X6" s="70"/>
      <c r="Y6" s="74"/>
      <c r="Z6" s="1">
        <v>8810</v>
      </c>
      <c r="AA6" s="112">
        <f>VLOOKUP(Z6,'WRK COMP'!$A$1:$E$17,5,FALSE)</f>
        <v>1.0169999999999999E-3</v>
      </c>
      <c r="AB6" s="76" t="s">
        <v>13</v>
      </c>
      <c r="AC6" s="68">
        <v>0</v>
      </c>
      <c r="AD6" s="68">
        <v>0</v>
      </c>
      <c r="AE6" s="68">
        <v>0</v>
      </c>
      <c r="AF6" s="68">
        <v>0</v>
      </c>
      <c r="AG6" s="68">
        <v>0</v>
      </c>
      <c r="AH6" s="68">
        <v>12.5</v>
      </c>
      <c r="AI6" s="68">
        <v>0</v>
      </c>
      <c r="AJ6" s="1" t="s">
        <v>14</v>
      </c>
      <c r="AK6" s="1" t="s">
        <v>15</v>
      </c>
      <c r="AL6" s="1" t="s">
        <v>16</v>
      </c>
      <c r="AM6" s="78">
        <f>IF(F6&gt;0.79,IF(ROUNDUP(IF(B6="FS",(V6*HRS!$B$9),(V6*HRS!$L$2))*2,-3)&gt;150000,150000,(ROUNDUP(IF(B6="FS",(V6*HRS!$B$9),(V6*HRS!$L$2))*2,-3))),0)</f>
        <v>127000</v>
      </c>
      <c r="AN6" s="188">
        <f t="shared" si="0"/>
        <v>63761</v>
      </c>
      <c r="AO6" s="77">
        <f>IF(B6="CM",HRS!#REF!,IF(L6="N",IF(B6="FS",ROUNDUP($V6*HRS!$B$9*'Position Control'!F6,0),ROUNDUP('Position Control'!$V6*HRS!$L$2*'Position Control'!F6,0)),IF('Position Control'!B6="FS",ROUNDUP(('Position Control'!V6*HRS!$B$9*'Position Control'!W6*'Position Control'!F6)+('Position Control'!X6*HRS!$B$9*'Position Control'!Y6*'Position Control'!F6),0),ROUNDUP(('Position Control'!V6*HRS!$L$2*'Position Control'!W6*'Position Control'!F6)+('Position Control'!X6*HRS!$L$2*'Position Control'!Y6*'Position Control'!F6),0))))*'Position Control'!H6</f>
        <v>63161</v>
      </c>
      <c r="AP6" s="77">
        <f>ROUNDUP(52*AC6,0)*H6</f>
        <v>0</v>
      </c>
      <c r="AQ6" s="77">
        <f>IF(B6="FS",ROUNDUP(24*AD6,0),IF(B6="POL",ROUNDUP(26*AD6,0),ROUNDUP(52*AD6,0)))*$H6</f>
        <v>0</v>
      </c>
      <c r="AR6" s="77">
        <f>IF(B6="FS",ROUNDUP(AG6*24,0),ROUNDUP(52*AG6,0))*H6</f>
        <v>0</v>
      </c>
      <c r="AS6" s="77">
        <v>0</v>
      </c>
      <c r="AT6" s="79">
        <f>ROUNDUP(26*AF6,0)*H6</f>
        <v>0</v>
      </c>
      <c r="AU6" s="77">
        <f>IF(B6="FS",ROUNDUP(24*AH6,0),IF(B6="POL",ROUNDUP(26*AH6,0),ROUNDUP(48*AH6,0)))*$H6</f>
        <v>600</v>
      </c>
      <c r="AV6" s="77">
        <v>0</v>
      </c>
      <c r="AW6" s="77">
        <f>IF(B6="FS",ROUNDUP(24*AE6,0),IF(B6="POL",ROUNDUP(26*AE6,0),ROUNDUP(52*AE6,0)))*$H6</f>
        <v>0</v>
      </c>
      <c r="AX6" s="77">
        <f>IF(AND(Q6&lt;20220401,A6&lt;&gt;"SP"),($AX$3*(AO6+BE6)),0)</f>
        <v>0</v>
      </c>
      <c r="AY6" s="77">
        <f>IF(AND($L6="N",$Q6&lt;20220401,$A6&lt;&gt;"SP",$AO6&lt;100000),($AY$3*($AO6+$BE6)),0)</f>
        <v>0</v>
      </c>
      <c r="AZ6" s="77">
        <f>IF(AND($L6="N",$Q6&lt;20220401,$A6&lt;&gt;"SP",$AO6&gt;100000),($AZ$3*($AO6+$BE6)),0)</f>
        <v>0</v>
      </c>
      <c r="BA6" s="77">
        <f>IF(AND($L6="N",$Q6&lt;20220401,$A6&lt;&gt;"SP"),($BA$3*($AO6+$BE6)),0)</f>
        <v>0</v>
      </c>
      <c r="BB6" s="77">
        <f>IF(AND($L6="Y",$Q6&lt;20220401,$A6&lt;&gt;"SP"),($BB$3*($AO6+$BE6)),0)</f>
        <v>0</v>
      </c>
      <c r="BC6" s="77">
        <f t="shared" si="1"/>
        <v>0</v>
      </c>
      <c r="BD6" s="77">
        <f>IF($S6&gt;=12,IF(($S6*5)&gt;1200,1200,$S6*5),0)*$H6</f>
        <v>0</v>
      </c>
      <c r="BE6" s="77">
        <v>0</v>
      </c>
      <c r="BF6" s="77">
        <f>$AM6*$BF$3*12*$H6</f>
        <v>152.4</v>
      </c>
      <c r="BG6" s="77">
        <f>VLOOKUP($AJ6,BENE!$I$2:$N$9,6,FALSE)*'Position Control'!$H6</f>
        <v>389</v>
      </c>
      <c r="BH6" s="77">
        <f>VLOOKUP($AK6,BENE!$A$2:$F$19,6,FALSE)*'Position Control'!$H6</f>
        <v>6142</v>
      </c>
      <c r="BI6" s="77">
        <f>VLOOKUP($AK6,BENE!$A$2:$G$19,7,FALSE)*'Position Control'!$H6</f>
        <v>1000</v>
      </c>
      <c r="BJ6" s="77">
        <f>VLOOKUP($AL6,BENE!$P$2:$S$6,4,FALSE)*'Position Control'!$H6</f>
        <v>240</v>
      </c>
      <c r="BK6" s="77">
        <f>IF($F6&gt;HRS!$H$2,ROUNDUP(((($AN6+$BE6)*$BK$3)/12*9)+(($AN6+$BE6)*HRS!$B$10/12*3),0),0)*$H6</f>
        <v>10751</v>
      </c>
      <c r="BL6" s="80">
        <f>ROUNDUP($AN6*$AA6,0)*$H6</f>
        <v>65</v>
      </c>
      <c r="BM6" s="77">
        <f>ROUNDUP(IF($AN6&gt;9000,$BM$3*9000,$BM$3*$AN6),0)*$H6</f>
        <v>144</v>
      </c>
      <c r="BN6" s="77">
        <f>IF($AB6="Y",ROUNDUP($AN6*$BN$3,0),0)*$H6</f>
        <v>925</v>
      </c>
      <c r="BO6" s="77">
        <f>IF($A6&lt;&gt;"SP",ROUND($BO$3*$AN6,0)*$H6,0)</f>
        <v>115</v>
      </c>
      <c r="BP6" s="77">
        <f>IF($T6&gt;24,2000,IF($T6&gt;19,1750,IF($T6&gt;14,1500,IF($T6&gt;9.9999999999999,1000,0))))*$H6</f>
        <v>0</v>
      </c>
      <c r="BQ6" s="77">
        <v>0</v>
      </c>
      <c r="BR6" s="80">
        <f t="shared" si="2"/>
        <v>83684.399999999994</v>
      </c>
    </row>
    <row r="7" spans="1:70" outlineLevel="1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9</v>
      </c>
      <c r="F7" s="2">
        <v>1</v>
      </c>
      <c r="G7" s="66">
        <v>0</v>
      </c>
      <c r="H7" s="66">
        <v>1</v>
      </c>
      <c r="I7" s="10" t="s">
        <v>409</v>
      </c>
      <c r="J7" s="10" t="s">
        <v>410</v>
      </c>
      <c r="K7" s="1"/>
      <c r="L7" s="76" t="str">
        <f>IF(M7="","N",STEP!$J$22)</f>
        <v>N</v>
      </c>
      <c r="M7" s="1"/>
      <c r="N7" s="1"/>
      <c r="O7" s="1"/>
      <c r="P7" s="1"/>
      <c r="Q7" s="185">
        <v>20221002</v>
      </c>
      <c r="R7" s="196">
        <v>44836</v>
      </c>
      <c r="S7" s="197">
        <f>IF(A7="FT",IF(R7&gt;$S$1,0,(DATEDIF(R7,$S$1,"M"))),0)</f>
        <v>0</v>
      </c>
      <c r="T7" s="66">
        <f>ROUNDDOWN(IF(A7="FT",DATEDIF(R7,$T$1,"y"),0),0)</f>
        <v>0</v>
      </c>
      <c r="U7" s="1"/>
      <c r="V7" s="70">
        <v>0</v>
      </c>
      <c r="W7" s="74"/>
      <c r="X7" s="70"/>
      <c r="Y7" s="74"/>
      <c r="Z7" s="1">
        <v>8810</v>
      </c>
      <c r="AA7" s="112">
        <f>VLOOKUP(Z7,'WRK COMP'!$A$1:$E$17,5,FALSE)</f>
        <v>1.0169999999999999E-3</v>
      </c>
      <c r="AB7" s="76" t="s">
        <v>13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10" t="s">
        <v>49</v>
      </c>
      <c r="AK7" s="10" t="s">
        <v>49</v>
      </c>
      <c r="AL7" s="10" t="s">
        <v>49</v>
      </c>
      <c r="AM7" s="78">
        <f>IF(F7&gt;0.79,IF(ROUNDUP(IF(B7="FS",(V7*HRS!$B$9),(V7*HRS!$L$2))*2,-3)&gt;150000,150000,(ROUNDUP(IF(B7="FS",(V7*HRS!$B$9),(V7*HRS!$L$2))*2,-3))),0)</f>
        <v>0</v>
      </c>
      <c r="AN7" s="188">
        <f t="shared" si="0"/>
        <v>0</v>
      </c>
      <c r="AO7" s="77">
        <f>IF(B7="CM",HRS!#REF!,IF(L7="N",IF(B7="FS",ROUNDUP($V7*HRS!$B$9*'Position Control'!F7,0),ROUNDUP('Position Control'!$V7*HRS!$L$2*'Position Control'!F7,0)),IF('Position Control'!B7="FS",ROUNDUP(('Position Control'!V7*HRS!$B$9*'Position Control'!W7*'Position Control'!F7)+('Position Control'!X7*HRS!$B$9*'Position Control'!Y7*'Position Control'!F7),0),ROUNDUP(('Position Control'!V7*HRS!$L$2*'Position Control'!W7*'Position Control'!F7)+('Position Control'!X7*HRS!$L$2*'Position Control'!Y7*'Position Control'!F7),0))))*'Position Control'!H7</f>
        <v>0</v>
      </c>
      <c r="AP7" s="77">
        <f>ROUNDUP(52*AC7,0)*H7</f>
        <v>0</v>
      </c>
      <c r="AQ7" s="77">
        <f>IF(B7="FS",ROUNDUP(24*AD7,0),IF(B7="POL",ROUNDUP(26*AD7,0),ROUNDUP(52*AD7,0)))*$H7</f>
        <v>0</v>
      </c>
      <c r="AR7" s="77">
        <f>IF(B7="FS",ROUNDUP(AG7*24,0),ROUNDUP(52*AG7,0))*H7</f>
        <v>0</v>
      </c>
      <c r="AS7" s="77">
        <f>'DIVISION BUDGETS'!B4</f>
        <v>0</v>
      </c>
      <c r="AT7" s="79">
        <f>ROUNDUP(26*AF7,0)*H7</f>
        <v>0</v>
      </c>
      <c r="AU7" s="77">
        <f>IF(B7="FS",ROUNDUP(24*AH7,0),IF(B7="POL",ROUNDUP(26*AH7,0),ROUNDUP(48*AH7,0)))*$H7</f>
        <v>0</v>
      </c>
      <c r="AV7" s="77">
        <v>0</v>
      </c>
      <c r="AW7" s="77">
        <f>IF(B7="FS",ROUNDUP(24*AE7,0),IF(B7="POL",ROUNDUP(26*AE7,0),ROUNDUP(52*AE7,0)))*$H7</f>
        <v>0</v>
      </c>
      <c r="AX7" s="77">
        <f>IF(AND(Q7&lt;20220401,A7&lt;&gt;"SP"),($AX$3*(AO7+BE7)),0)</f>
        <v>0</v>
      </c>
      <c r="AY7" s="77">
        <f>IF(AND($L7="N",$Q7&lt;20220401,$A7&lt;&gt;"SP",$AO7&lt;100000),($AY$3*($AO7+$BE7)),0)</f>
        <v>0</v>
      </c>
      <c r="AZ7" s="77">
        <f>IF(AND($L7="N",$Q7&lt;20220401,$A7&lt;&gt;"SP",$AO7&gt;100000),($AZ$3*($AO7+$BE7)),0)</f>
        <v>0</v>
      </c>
      <c r="BA7" s="77">
        <f>IF(AND($L7="N",$Q7&lt;20220401,$A7&lt;&gt;"SP"),($BA$3*($AO7+$BE7)),0)</f>
        <v>0</v>
      </c>
      <c r="BB7" s="77">
        <f>IF(AND($L7="Y",$Q7&lt;20220401,$A7&lt;&gt;"SP"),($BB$3*($AO7+$BE7)),0)</f>
        <v>0</v>
      </c>
      <c r="BC7" s="77">
        <f t="shared" si="1"/>
        <v>0</v>
      </c>
      <c r="BD7" s="77">
        <f>IF($S7&gt;=12,IF(($S7*5)&gt;1200,1200,$S7*5),0)*$H7</f>
        <v>0</v>
      </c>
      <c r="BE7" s="77">
        <f>'DIVISION BUDGETS'!D4</f>
        <v>500</v>
      </c>
      <c r="BF7" s="77">
        <f>$AM7*$BF$3*12*$H7</f>
        <v>0</v>
      </c>
      <c r="BG7" s="77">
        <f>VLOOKUP($AJ7,BENE!$I$2:$N$9,6,FALSE)*'Position Control'!$H7</f>
        <v>0</v>
      </c>
      <c r="BH7" s="77">
        <f>VLOOKUP($AK7,BENE!$A$2:$F$19,6,FALSE)*'Position Control'!$H7</f>
        <v>0</v>
      </c>
      <c r="BI7" s="77">
        <f>VLOOKUP($AK7,BENE!$A$2:$G$19,7,FALSE)*'Position Control'!$H7</f>
        <v>0</v>
      </c>
      <c r="BJ7" s="77">
        <f>VLOOKUP($AL7,BENE!$P$2:$S$6,4,FALSE)*'Position Control'!$H7</f>
        <v>0</v>
      </c>
      <c r="BK7" s="77">
        <f>IF($F7&gt;HRS!$H$2,ROUNDUP(((($AN7+$BE7)*$BK$3)/12*9)+(($AN7+$BE7)*HRS!$B$10/12*3),0),0)*$H7</f>
        <v>85</v>
      </c>
      <c r="BL7" s="80">
        <f>ROUNDUP($AN7*$AA7,0)*$H7</f>
        <v>0</v>
      </c>
      <c r="BM7" s="77">
        <f>ROUNDUP(IF($AN7&gt;9000,$BM$3*9000,$BM$3*$AN7),0)*$H7</f>
        <v>0</v>
      </c>
      <c r="BN7" s="77">
        <f>IF($AB7="Y",ROUNDUP($AN7*$BN$3,0),0)*$H7</f>
        <v>0</v>
      </c>
      <c r="BO7" s="77">
        <f>IF($A7&lt;&gt;"SP",ROUND($BO$3*$AN7,0)*$H7,0)</f>
        <v>0</v>
      </c>
      <c r="BP7" s="77">
        <f>IF($T7&gt;24,2000,IF($T7&gt;19,1750,IF($T7&gt;14,1500,IF($T7&gt;9.9999999999999,1000,0))))*$H7</f>
        <v>0</v>
      </c>
      <c r="BQ7" s="77">
        <f>'DIVISION BUDGETS'!G4</f>
        <v>4850</v>
      </c>
      <c r="BR7" s="80">
        <f t="shared" si="2"/>
        <v>5435</v>
      </c>
    </row>
    <row r="8" spans="1:70" s="171" customFormat="1" x14ac:dyDescent="0.35">
      <c r="A8" s="161"/>
      <c r="B8" s="161"/>
      <c r="C8" s="161"/>
      <c r="D8" s="161"/>
      <c r="E8" s="161"/>
      <c r="F8" s="162"/>
      <c r="G8" s="163">
        <f>SUBTOTAL(9,G4:G7)</f>
        <v>3</v>
      </c>
      <c r="H8" s="163"/>
      <c r="I8" s="161" t="s">
        <v>549</v>
      </c>
      <c r="J8" s="161"/>
      <c r="K8" s="161"/>
      <c r="L8" s="164"/>
      <c r="M8" s="161"/>
      <c r="N8" s="161"/>
      <c r="O8" s="161"/>
      <c r="P8" s="161"/>
      <c r="Q8" s="186"/>
      <c r="R8" s="200"/>
      <c r="S8" s="208"/>
      <c r="T8" s="163"/>
      <c r="U8" s="161"/>
      <c r="V8" s="165"/>
      <c r="W8" s="166"/>
      <c r="X8" s="165"/>
      <c r="Y8" s="166"/>
      <c r="Z8" s="161"/>
      <c r="AA8" s="167"/>
      <c r="AB8" s="164"/>
      <c r="AC8" s="168"/>
      <c r="AD8" s="168"/>
      <c r="AE8" s="168"/>
      <c r="AF8" s="168"/>
      <c r="AG8" s="168"/>
      <c r="AH8" s="168"/>
      <c r="AI8" s="168"/>
      <c r="AJ8" s="161"/>
      <c r="AK8" s="161"/>
      <c r="AL8" s="161"/>
      <c r="AM8" s="169"/>
      <c r="AN8" s="189">
        <f t="shared" ref="AN8:BR8" si="3">SUBTOTAL(9,AN4:AN7)</f>
        <v>318142</v>
      </c>
      <c r="AO8" s="170">
        <f t="shared" si="3"/>
        <v>316342</v>
      </c>
      <c r="AP8" s="170">
        <f t="shared" si="3"/>
        <v>0</v>
      </c>
      <c r="AQ8" s="170">
        <f t="shared" si="3"/>
        <v>0</v>
      </c>
      <c r="AR8" s="170">
        <f t="shared" si="3"/>
        <v>0</v>
      </c>
      <c r="AS8" s="170">
        <f t="shared" si="3"/>
        <v>0</v>
      </c>
      <c r="AT8" s="170">
        <f t="shared" si="3"/>
        <v>0</v>
      </c>
      <c r="AU8" s="170">
        <f t="shared" si="3"/>
        <v>1800</v>
      </c>
      <c r="AV8" s="170">
        <f t="shared" si="3"/>
        <v>0</v>
      </c>
      <c r="AW8" s="170">
        <f t="shared" si="3"/>
        <v>0</v>
      </c>
      <c r="AX8" s="170">
        <f t="shared" si="3"/>
        <v>0</v>
      </c>
      <c r="AY8" s="170">
        <f t="shared" si="3"/>
        <v>0</v>
      </c>
      <c r="AZ8" s="170">
        <f t="shared" si="3"/>
        <v>0</v>
      </c>
      <c r="BA8" s="170">
        <f t="shared" si="3"/>
        <v>0</v>
      </c>
      <c r="BB8" s="170">
        <f t="shared" si="3"/>
        <v>0</v>
      </c>
      <c r="BC8" s="170">
        <f t="shared" si="3"/>
        <v>0</v>
      </c>
      <c r="BD8" s="170">
        <f t="shared" si="3"/>
        <v>675</v>
      </c>
      <c r="BE8" s="170">
        <f t="shared" si="3"/>
        <v>500</v>
      </c>
      <c r="BF8" s="170">
        <f t="shared" si="3"/>
        <v>512.4</v>
      </c>
      <c r="BG8" s="170">
        <f t="shared" si="3"/>
        <v>778</v>
      </c>
      <c r="BH8" s="170">
        <f t="shared" si="3"/>
        <v>12284</v>
      </c>
      <c r="BI8" s="170">
        <f t="shared" si="3"/>
        <v>2000</v>
      </c>
      <c r="BJ8" s="170">
        <f t="shared" si="3"/>
        <v>720</v>
      </c>
      <c r="BK8" s="170">
        <f t="shared" si="3"/>
        <v>53725</v>
      </c>
      <c r="BL8" s="170">
        <f t="shared" si="3"/>
        <v>325</v>
      </c>
      <c r="BM8" s="170">
        <f t="shared" si="3"/>
        <v>432</v>
      </c>
      <c r="BN8" s="170">
        <f t="shared" si="3"/>
        <v>4614</v>
      </c>
      <c r="BO8" s="170">
        <f t="shared" si="3"/>
        <v>573</v>
      </c>
      <c r="BP8" s="170">
        <f t="shared" si="3"/>
        <v>1000</v>
      </c>
      <c r="BQ8" s="170">
        <f t="shared" si="3"/>
        <v>4850</v>
      </c>
      <c r="BR8" s="170">
        <f t="shared" si="3"/>
        <v>401130.4</v>
      </c>
    </row>
    <row r="9" spans="1:70" outlineLevel="1" x14ac:dyDescent="0.35">
      <c r="A9" s="1" t="s">
        <v>6</v>
      </c>
      <c r="B9" s="1" t="s">
        <v>7</v>
      </c>
      <c r="C9" s="1" t="s">
        <v>8</v>
      </c>
      <c r="D9" s="1" t="s">
        <v>9</v>
      </c>
      <c r="E9" s="1" t="s">
        <v>21</v>
      </c>
      <c r="F9" s="2">
        <v>1</v>
      </c>
      <c r="G9" s="66">
        <v>1</v>
      </c>
      <c r="H9" s="66">
        <v>1</v>
      </c>
      <c r="I9" s="1" t="s">
        <v>611</v>
      </c>
      <c r="J9" s="1" t="s">
        <v>612</v>
      </c>
      <c r="K9" s="1" t="s">
        <v>23</v>
      </c>
      <c r="L9" s="76" t="str">
        <f>IF(M9="","N",STEP!$J$22)</f>
        <v>N</v>
      </c>
      <c r="M9" s="1" t="s">
        <v>11</v>
      </c>
      <c r="N9" s="1" t="s">
        <v>11</v>
      </c>
      <c r="O9" s="1" t="s">
        <v>11</v>
      </c>
      <c r="P9" s="1"/>
      <c r="Q9" s="185">
        <v>20070122</v>
      </c>
      <c r="R9" s="196">
        <v>38008</v>
      </c>
      <c r="S9" s="197">
        <f>IF(A9="FT",IF(R9&gt;$S$1,0,(DATEDIF(R9,$S$1,"M"))),0)</f>
        <v>224</v>
      </c>
      <c r="T9" s="66">
        <f>ROUNDDOWN(IF(A9="FT",DATEDIF(R9,$T$1,"y"),0),0)</f>
        <v>19</v>
      </c>
      <c r="U9" s="1" t="s">
        <v>12</v>
      </c>
      <c r="V9" s="70">
        <v>58.091299999999997</v>
      </c>
      <c r="W9" s="74"/>
      <c r="X9" s="70"/>
      <c r="Y9" s="74"/>
      <c r="Z9" s="1">
        <v>8810</v>
      </c>
      <c r="AA9" s="112">
        <f>VLOOKUP(Z9,'WRK COMP'!$A$1:$E$17,5,FALSE)</f>
        <v>1.0169999999999999E-3</v>
      </c>
      <c r="AB9" s="76" t="s">
        <v>13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12.5</v>
      </c>
      <c r="AI9" s="68">
        <v>0</v>
      </c>
      <c r="AJ9" s="1" t="s">
        <v>14</v>
      </c>
      <c r="AK9" s="1" t="s">
        <v>15</v>
      </c>
      <c r="AL9" s="1" t="s">
        <v>16</v>
      </c>
      <c r="AM9" s="78">
        <f>IF(F9&gt;0.79,IF(ROUNDUP(IF(B9="FS",(V9*HRS!$B$9),(V9*HRS!$L$2))*2,-3)&gt;150000,150000,(ROUNDUP(IF(B9="FS",(V9*HRS!$B$9),(V9*HRS!$L$2))*2,-3))),0)</f>
        <v>150000</v>
      </c>
      <c r="AN9" s="188">
        <f>SUM(AO9:BB9)</f>
        <v>121430</v>
      </c>
      <c r="AO9" s="77">
        <f>IF(B9="CM",HRS!#REF!,IF(L9="N",IF(B9="FS",ROUNDUP($V9*HRS!$B$9*'Position Control'!F9,0),ROUNDUP('Position Control'!$V9*HRS!$L$2*'Position Control'!F9,0)),IF('Position Control'!B9="FS",ROUNDUP(('Position Control'!V9*HRS!$B$9*'Position Control'!W9*'Position Control'!F9)+('Position Control'!X9*HRS!$B$9*'Position Control'!Y9*'Position Control'!F9),0),ROUNDUP(('Position Control'!V9*HRS!$L$2*'Position Control'!W9*'Position Control'!F9)+('Position Control'!X9*HRS!$L$2*'Position Control'!Y9*'Position Control'!F9),0))))*'Position Control'!H9</f>
        <v>120830</v>
      </c>
      <c r="AP9" s="77">
        <f>ROUNDUP(52*AC9,0)*H9</f>
        <v>0</v>
      </c>
      <c r="AQ9" s="77">
        <f>IF(B9="FS",ROUNDUP(24*AD9,0),IF(B9="POL",ROUNDUP(26*AD9,0),ROUNDUP(52*AD9,0)))*$H9</f>
        <v>0</v>
      </c>
      <c r="AR9" s="77">
        <f>IF(B9="FS",ROUNDUP(AG9*24,0),ROUNDUP(52*AG9,0))*H9</f>
        <v>0</v>
      </c>
      <c r="AS9" s="77">
        <v>0</v>
      </c>
      <c r="AT9" s="79">
        <f>ROUNDUP(26*AF9,0)*H9</f>
        <v>0</v>
      </c>
      <c r="AU9" s="77">
        <f>IF(B9="FS",ROUNDUP(24*AH9,0),IF(B9="POL",ROUNDUP(26*AH9,0),ROUNDUP(48*AH9,0)))*$H9</f>
        <v>600</v>
      </c>
      <c r="AV9" s="77">
        <v>0</v>
      </c>
      <c r="AW9" s="77">
        <f>IF(B9="FS",ROUNDUP(24*AE9,0),IF(B9="POL",ROUNDUP(26*AE9,0),ROUNDUP(52*AE9,0)))*$H9</f>
        <v>0</v>
      </c>
      <c r="AX9" s="77">
        <f>IF(AND(Q9&lt;20220401,A9&lt;&gt;"SP"),($AX$3*(AO9+BE9)),0)</f>
        <v>0</v>
      </c>
      <c r="AY9" s="77">
        <f>IF(AND($L9="N",$Q9&lt;20220401,$A9&lt;&gt;"SP",$AO9&lt;100000),($AY$3*($AO9+$BE9)),0)</f>
        <v>0</v>
      </c>
      <c r="AZ9" s="77">
        <f>IF(AND($L9="N",$Q9&lt;20220401,$A9&lt;&gt;"SP",$AO9&gt;100000),($AZ$3*($AO9+$BE9)),0)</f>
        <v>0</v>
      </c>
      <c r="BA9" s="77">
        <f>IF(AND($L9="N",$Q9&lt;20220401,$A9&lt;&gt;"SP"),($BA$3*($AO9+$BE9)),0)</f>
        <v>0</v>
      </c>
      <c r="BB9" s="77">
        <f>IF(AND($L9="Y",$Q9&lt;20220401,$A9&lt;&gt;"SP"),($BB$3*($AO9+$BE9)),0)</f>
        <v>0</v>
      </c>
      <c r="BC9" s="77">
        <f t="shared" si="1"/>
        <v>0</v>
      </c>
      <c r="BD9" s="77">
        <f>IF($S9&gt;=12,IF(($S9*5)&gt;1200,1200,$S9*5),0)*$H9</f>
        <v>1120</v>
      </c>
      <c r="BE9" s="77">
        <v>0</v>
      </c>
      <c r="BF9" s="77">
        <f>$AM9*$BF$3*12*$H9</f>
        <v>180</v>
      </c>
      <c r="BG9" s="77">
        <f>VLOOKUP($AJ9,BENE!$I$2:$N$9,6,FALSE)*'Position Control'!$H9</f>
        <v>389</v>
      </c>
      <c r="BH9" s="77">
        <f>VLOOKUP($AK9,BENE!$A$2:$F$19,6,FALSE)*'Position Control'!$H9</f>
        <v>6142</v>
      </c>
      <c r="BI9" s="77">
        <f>VLOOKUP($AK9,BENE!$A$2:$G$19,7,FALSE)*'Position Control'!$H9</f>
        <v>1000</v>
      </c>
      <c r="BJ9" s="77">
        <f>VLOOKUP($AL9,BENE!$P$2:$S$6,4,FALSE)*'Position Control'!$H9</f>
        <v>240</v>
      </c>
      <c r="BK9" s="77">
        <f>IF($F9&gt;HRS!$H$2,ROUNDUP(((($AN9+$BE9)*$BK$3)/12*9)+(($AN9+$BE9)*HRS!$B$10/12*3),0),0)*$H9</f>
        <v>20474</v>
      </c>
      <c r="BL9" s="80">
        <f>ROUNDUP($AN9*$AA9,0)*$H9</f>
        <v>124</v>
      </c>
      <c r="BM9" s="77">
        <f>ROUNDUP(IF($AN9&gt;9000,$BM$3*9000,$BM$3*$AN9),0)*$H9</f>
        <v>144</v>
      </c>
      <c r="BN9" s="77">
        <f>IF($AB9="Y",ROUNDUP($AN9*$BN$3,0),0)*$H9</f>
        <v>1761</v>
      </c>
      <c r="BO9" s="77">
        <f>IF($A9&lt;&gt;"SP",ROUND($BO$3*$AN9,0)*$H9,0)</f>
        <v>219</v>
      </c>
      <c r="BP9" s="77">
        <f>IF($T9&gt;24,2000,IF($T9&gt;19,1750,IF($T9&gt;14,1500,IF($T9&gt;9.9999999999999,1000,0))))*$H9</f>
        <v>1500</v>
      </c>
      <c r="BQ9" s="77">
        <v>0</v>
      </c>
      <c r="BR9" s="80">
        <f>SUM(AO9:AW9)+SUM(BC9:BQ9)</f>
        <v>154723</v>
      </c>
    </row>
    <row r="10" spans="1:70" outlineLevel="1" x14ac:dyDescent="0.35">
      <c r="A10" s="1" t="s">
        <v>6</v>
      </c>
      <c r="B10" s="1" t="s">
        <v>7</v>
      </c>
      <c r="C10" s="1" t="s">
        <v>8</v>
      </c>
      <c r="D10" s="1" t="s">
        <v>9</v>
      </c>
      <c r="E10" s="1" t="s">
        <v>21</v>
      </c>
      <c r="F10" s="2">
        <v>1</v>
      </c>
      <c r="G10" s="66">
        <v>1</v>
      </c>
      <c r="H10" s="66">
        <v>1</v>
      </c>
      <c r="I10" s="1" t="s">
        <v>611</v>
      </c>
      <c r="J10" s="1" t="s">
        <v>612</v>
      </c>
      <c r="K10" s="1" t="s">
        <v>22</v>
      </c>
      <c r="L10" s="76" t="str">
        <f>IF(M10="","N",STEP!$J$22)</f>
        <v>N</v>
      </c>
      <c r="M10" s="1" t="s">
        <v>11</v>
      </c>
      <c r="N10" s="1" t="s">
        <v>11</v>
      </c>
      <c r="O10" s="1" t="s">
        <v>11</v>
      </c>
      <c r="P10" s="1"/>
      <c r="Q10" s="185">
        <v>20110214</v>
      </c>
      <c r="R10" s="196">
        <v>42049</v>
      </c>
      <c r="S10" s="197">
        <f>IF(A10="FT",IF(R10&gt;$S$1,0,(DATEDIF(R10,$S$1,"M"))),0)</f>
        <v>91</v>
      </c>
      <c r="T10" s="66">
        <f>ROUNDDOWN(IF(A10="FT",DATEDIF(R10,$T$1,"y"),0),0)</f>
        <v>8</v>
      </c>
      <c r="U10" s="1" t="s">
        <v>12</v>
      </c>
      <c r="V10" s="70">
        <v>29.5562</v>
      </c>
      <c r="W10" s="74"/>
      <c r="X10" s="70"/>
      <c r="Y10" s="74"/>
      <c r="Z10" s="1">
        <v>8810</v>
      </c>
      <c r="AA10" s="112">
        <f>VLOOKUP(Z10,'WRK COMP'!$A$1:$E$17,5,FALSE)</f>
        <v>1.0169999999999999E-3</v>
      </c>
      <c r="AB10" s="76" t="s">
        <v>13</v>
      </c>
      <c r="AC10" s="68">
        <v>0</v>
      </c>
      <c r="AD10" s="68">
        <v>11.54</v>
      </c>
      <c r="AE10" s="68">
        <v>0</v>
      </c>
      <c r="AF10" s="68">
        <v>0</v>
      </c>
      <c r="AG10" s="68">
        <v>0</v>
      </c>
      <c r="AH10" s="68">
        <v>0</v>
      </c>
      <c r="AI10" s="68">
        <v>0</v>
      </c>
      <c r="AJ10" s="1" t="s">
        <v>14</v>
      </c>
      <c r="AK10" s="1" t="s">
        <v>15</v>
      </c>
      <c r="AL10" s="1" t="s">
        <v>16</v>
      </c>
      <c r="AM10" s="78">
        <f>IF(F10&gt;0.79,IF(ROUNDUP(IF(B10="FS",(V10*HRS!$B$9),(V10*HRS!$L$2))*2,-3)&gt;150000,150000,(ROUNDUP(IF(B10="FS",(V10*HRS!$B$9),(V10*HRS!$L$2))*2,-3))),0)</f>
        <v>123000</v>
      </c>
      <c r="AN10" s="188">
        <f>SUM(AO10:BB10)</f>
        <v>62078</v>
      </c>
      <c r="AO10" s="77">
        <f>IF(B10="CM",HRS!#REF!,IF(L10="N",IF(B10="FS",ROUNDUP($V10*HRS!$B$9*'Position Control'!F10,0),ROUNDUP('Position Control'!$V10*HRS!$L$2*'Position Control'!F10,0)),IF('Position Control'!B10="FS",ROUNDUP(('Position Control'!V10*HRS!$B$9*'Position Control'!W10*'Position Control'!F10)+('Position Control'!X10*HRS!$B$9*'Position Control'!Y10*'Position Control'!F10),0),ROUNDUP(('Position Control'!V10*HRS!$L$2*'Position Control'!W10*'Position Control'!F10)+('Position Control'!X10*HRS!$L$2*'Position Control'!Y10*'Position Control'!F10),0))))*'Position Control'!H10</f>
        <v>61477</v>
      </c>
      <c r="AP10" s="77">
        <f>ROUNDUP(52*AC10,0)*H10</f>
        <v>0</v>
      </c>
      <c r="AQ10" s="77">
        <f>IF(B10="FS",ROUNDUP(24*AD10,0),IF(B10="POL",ROUNDUP(26*AD10,0),ROUNDUP(52*AD10,0)))*$H10</f>
        <v>601</v>
      </c>
      <c r="AR10" s="77">
        <f>IF(B10="FS",ROUNDUP(AG10*24,0),ROUNDUP(52*AG10,0))*H10</f>
        <v>0</v>
      </c>
      <c r="AS10" s="77">
        <v>0</v>
      </c>
      <c r="AT10" s="79">
        <f>ROUNDUP(26*AF10,0)*H10</f>
        <v>0</v>
      </c>
      <c r="AU10" s="77">
        <f>IF(B10="FS",ROUNDUP(24*AH10,0),IF(B10="POL",ROUNDUP(26*AH10,0),ROUNDUP(48*AH10,0)))*$H10</f>
        <v>0</v>
      </c>
      <c r="AV10" s="77">
        <v>0</v>
      </c>
      <c r="AW10" s="77">
        <f>IF(B10="FS",ROUNDUP(24*AE10,0),IF(B10="POL",ROUNDUP(26*AE10,0),ROUNDUP(52*AE10,0)))*$H10</f>
        <v>0</v>
      </c>
      <c r="AX10" s="77">
        <f>IF(AND(Q10&lt;20220401,A10&lt;&gt;"SP"),($AX$3*(AO10+BE10)),0)</f>
        <v>0</v>
      </c>
      <c r="AY10" s="77">
        <f>IF(AND($L10="N",$Q10&lt;20220401,$A10&lt;&gt;"SP",$AO10&lt;100000),($AY$3*($AO10+$BE10)),0)</f>
        <v>0</v>
      </c>
      <c r="AZ10" s="77">
        <f>IF(AND($L10="N",$Q10&lt;20220401,$A10&lt;&gt;"SP",$AO10&gt;100000),($AZ$3*($AO10+$BE10)),0)</f>
        <v>0</v>
      </c>
      <c r="BA10" s="77">
        <f>IF(AND($L10="N",$Q10&lt;20220401,$A10&lt;&gt;"SP"),($BA$3*($AO10+$BE10)),0)</f>
        <v>0</v>
      </c>
      <c r="BB10" s="77">
        <f>IF(AND($L10="Y",$Q10&lt;20220401,$A10&lt;&gt;"SP"),($BB$3*($AO10+$BE10)),0)</f>
        <v>0</v>
      </c>
      <c r="BC10" s="77">
        <f t="shared" si="1"/>
        <v>0</v>
      </c>
      <c r="BD10" s="77">
        <f>IF($S10&gt;=12,IF(($S10*5)&gt;1200,1200,$S10*5),0)*$H10</f>
        <v>455</v>
      </c>
      <c r="BE10" s="77">
        <v>0</v>
      </c>
      <c r="BF10" s="77">
        <f>$AM10*$BF$3*12*$H10</f>
        <v>147.60000000000002</v>
      </c>
      <c r="BG10" s="77">
        <f>VLOOKUP($AJ10,BENE!$I$2:$N$9,6,FALSE)*'Position Control'!$H10</f>
        <v>389</v>
      </c>
      <c r="BH10" s="77">
        <f>VLOOKUP($AK10,BENE!$A$2:$F$19,6,FALSE)*'Position Control'!$H10</f>
        <v>6142</v>
      </c>
      <c r="BI10" s="77">
        <f>VLOOKUP($AK10,BENE!$A$2:$G$19,7,FALSE)*'Position Control'!$H10</f>
        <v>1000</v>
      </c>
      <c r="BJ10" s="77">
        <f>VLOOKUP($AL10,BENE!$P$2:$S$6,4,FALSE)*'Position Control'!$H10</f>
        <v>240</v>
      </c>
      <c r="BK10" s="77">
        <f>IF($F10&gt;HRS!$H$2,ROUNDUP(((($AN10+$BE10)*$BK$3)/12*9)+(($AN10+$BE10)*HRS!$B$10/12*3),0),0)*$H10</f>
        <v>10467</v>
      </c>
      <c r="BL10" s="80">
        <f>ROUNDUP($AN10*$AA10,0)*$H10</f>
        <v>64</v>
      </c>
      <c r="BM10" s="77">
        <f>ROUNDUP(IF($AN10&gt;9000,$BM$3*9000,$BM$3*$AN10),0)*$H10</f>
        <v>144</v>
      </c>
      <c r="BN10" s="77">
        <f>IF($AB10="Y",ROUNDUP($AN10*$BN$3,0),0)*$H10</f>
        <v>901</v>
      </c>
      <c r="BO10" s="77">
        <f>IF($A10&lt;&gt;"SP",ROUND($BO$3*$AN10,0)*$H10,0)</f>
        <v>112</v>
      </c>
      <c r="BP10" s="77">
        <f>IF($T10&gt;24,2000,IF($T10&gt;19,1750,IF($T10&gt;14,1500,IF($T10&gt;9.9999999999999,1000,0))))*$H10</f>
        <v>0</v>
      </c>
      <c r="BQ10" s="77">
        <v>0</v>
      </c>
      <c r="BR10" s="80">
        <f>SUM(AO10:AW10)+SUM(BC10:BQ10)</f>
        <v>82139.600000000006</v>
      </c>
    </row>
    <row r="11" spans="1:70" outlineLevel="1" x14ac:dyDescent="0.35">
      <c r="A11" s="1" t="s">
        <v>6</v>
      </c>
      <c r="B11" s="1" t="s">
        <v>7</v>
      </c>
      <c r="C11" s="1" t="s">
        <v>8</v>
      </c>
      <c r="D11" s="1" t="s">
        <v>9</v>
      </c>
      <c r="E11" s="1" t="s">
        <v>21</v>
      </c>
      <c r="F11" s="2">
        <v>1</v>
      </c>
      <c r="G11" s="66">
        <v>0</v>
      </c>
      <c r="H11" s="66">
        <v>1</v>
      </c>
      <c r="I11" s="10" t="s">
        <v>409</v>
      </c>
      <c r="J11" s="10" t="s">
        <v>410</v>
      </c>
      <c r="K11" s="1"/>
      <c r="L11" s="76" t="str">
        <f>IF(M11="","N",STEP!$J$22)</f>
        <v>N</v>
      </c>
      <c r="M11" s="1"/>
      <c r="N11" s="1"/>
      <c r="O11" s="1"/>
      <c r="P11" s="1"/>
      <c r="Q11" s="185">
        <v>20221002</v>
      </c>
      <c r="R11" s="196">
        <v>44836</v>
      </c>
      <c r="S11" s="197">
        <f>IF(A11="FT",IF(R11&gt;$S$1,0,(DATEDIF(R11,$S$1,"M"))),0)</f>
        <v>0</v>
      </c>
      <c r="T11" s="66">
        <f>ROUNDDOWN(IF(A11="FT",DATEDIF(R11,$T$1,"y"),0),0)</f>
        <v>0</v>
      </c>
      <c r="U11" s="1"/>
      <c r="V11" s="70">
        <v>0</v>
      </c>
      <c r="W11" s="74"/>
      <c r="X11" s="70"/>
      <c r="Y11" s="74"/>
      <c r="Z11" s="1">
        <v>8810</v>
      </c>
      <c r="AA11" s="112">
        <f>VLOOKUP(Z11,'WRK COMP'!$A$1:$E$17,5,FALSE)</f>
        <v>1.0169999999999999E-3</v>
      </c>
      <c r="AB11" s="76" t="s">
        <v>13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10" t="s">
        <v>49</v>
      </c>
      <c r="AK11" s="10" t="s">
        <v>49</v>
      </c>
      <c r="AL11" s="10" t="s">
        <v>49</v>
      </c>
      <c r="AM11" s="78">
        <f>IF(F11&gt;0.79,IF(ROUNDUP(IF(B11="FS",(V11*HRS!$B$9),(V11*HRS!$L$2))*2,-3)&gt;150000,150000,(ROUNDUP(IF(B11="FS",(V11*HRS!$B$9),(V11*HRS!$L$2))*2,-3))),0)</f>
        <v>0</v>
      </c>
      <c r="AN11" s="188">
        <f>SUM(AO11:BB11)</f>
        <v>0</v>
      </c>
      <c r="AO11" s="77">
        <f>IF(B11="CM",HRS!#REF!,IF(L11="N",IF(B11="FS",ROUNDUP($V11*HRS!$B$9*'Position Control'!F11,0),ROUNDUP('Position Control'!$V11*HRS!$L$2*'Position Control'!F11,0)),IF('Position Control'!B11="FS",ROUNDUP(('Position Control'!V11*HRS!$B$9*'Position Control'!W11*'Position Control'!F11)+('Position Control'!X11*HRS!$B$9*'Position Control'!Y11*'Position Control'!F11),0),ROUNDUP(('Position Control'!V11*HRS!$L$2*'Position Control'!W11*'Position Control'!F11)+('Position Control'!X11*HRS!$L$2*'Position Control'!Y11*'Position Control'!F11),0))))*'Position Control'!H11</f>
        <v>0</v>
      </c>
      <c r="AP11" s="77">
        <f>ROUNDUP(52*AC11,0)*H11</f>
        <v>0</v>
      </c>
      <c r="AQ11" s="77">
        <f>IF(B11="FS",ROUNDUP(24*AD11,0),IF(B11="POL",ROUNDUP(26*AD11,0),ROUNDUP(52*AD11,0)))*$H11</f>
        <v>0</v>
      </c>
      <c r="AR11" s="77">
        <f>IF(B11="FS",ROUNDUP(AG11*24,0),ROUNDUP(52*AG11,0))*H11</f>
        <v>0</v>
      </c>
      <c r="AS11" s="77">
        <v>0</v>
      </c>
      <c r="AT11" s="79">
        <f>ROUNDUP(26*AF11,0)*H11</f>
        <v>0</v>
      </c>
      <c r="AU11" s="77">
        <f>IF(B11="FS",ROUNDUP(24*AH11,0),IF(B11="POL",ROUNDUP(26*AH11,0),ROUNDUP(48*AH11,0)))*$H11</f>
        <v>0</v>
      </c>
      <c r="AV11" s="77">
        <v>0</v>
      </c>
      <c r="AW11" s="77">
        <f>IF(B11="FS",ROUNDUP(24*AE11,0),IF(B11="POL",ROUNDUP(26*AE11,0),ROUNDUP(52*AE11,0)))*$H11</f>
        <v>0</v>
      </c>
      <c r="AX11" s="77">
        <f>IF(AND(Q11&lt;20220401,A11&lt;&gt;"SP"),($AX$3*(AO11+BE11)),0)</f>
        <v>0</v>
      </c>
      <c r="AY11" s="77">
        <f>IF(AND($L11="N",$Q11&lt;20220401,$A11&lt;&gt;"SP",$AO11&lt;100000),($AY$3*($AO11+$BE11)),0)</f>
        <v>0</v>
      </c>
      <c r="AZ11" s="77">
        <f>IF(AND($L11="N",$Q11&lt;20220401,$A11&lt;&gt;"SP",$AO11&gt;100000),($AZ$3*($AO11+$BE11)),0)</f>
        <v>0</v>
      </c>
      <c r="BA11" s="77">
        <f>IF(AND($L11="N",$Q11&lt;20220401,$A11&lt;&gt;"SP"),($BA$3*($AO11+$BE11)),0)</f>
        <v>0</v>
      </c>
      <c r="BB11" s="77">
        <f>IF(AND($L11="Y",$Q11&lt;20220401,$A11&lt;&gt;"SP"),($BB$3*($AO11+$BE11)),0)</f>
        <v>0</v>
      </c>
      <c r="BC11" s="77">
        <f t="shared" si="1"/>
        <v>0</v>
      </c>
      <c r="BD11" s="77">
        <f>IF($S11&gt;=12,IF(($S11*5)&gt;1200,1200,$S11*5),0)*$H11</f>
        <v>0</v>
      </c>
      <c r="BE11" s="77">
        <f>'DIVISION BUDGETS'!D5</f>
        <v>2500</v>
      </c>
      <c r="BF11" s="77">
        <f>$AM11*$BF$3*12*$H11</f>
        <v>0</v>
      </c>
      <c r="BG11" s="77">
        <f>VLOOKUP($AJ11,BENE!$I$2:$N$9,6,FALSE)*'Position Control'!$H11</f>
        <v>0</v>
      </c>
      <c r="BH11" s="77">
        <f>VLOOKUP($AK11,BENE!$A$2:$F$19,6,FALSE)*'Position Control'!$H11</f>
        <v>0</v>
      </c>
      <c r="BI11" s="77">
        <f>VLOOKUP($AK11,BENE!$A$2:$G$19,7,FALSE)*'Position Control'!$H11</f>
        <v>0</v>
      </c>
      <c r="BJ11" s="77">
        <f>VLOOKUP($AL11,BENE!$P$2:$S$6,4,FALSE)*'Position Control'!$H11</f>
        <v>0</v>
      </c>
      <c r="BK11" s="77">
        <f>IF($F11&gt;HRS!$H$2,ROUNDUP(((($AN11+$BE11)*$BK$3)/12*9)+(($AN11+$BE11)*HRS!$B$10/12*3),0),0)*$H11</f>
        <v>422</v>
      </c>
      <c r="BL11" s="80">
        <f>ROUNDUP($AN11*$AA11,0)*$H11</f>
        <v>0</v>
      </c>
      <c r="BM11" s="77">
        <f>ROUNDUP(IF($AN11&gt;9000,$BM$3*9000,$BM$3*$AN11),0)*$H11</f>
        <v>0</v>
      </c>
      <c r="BN11" s="77">
        <f>IF($AB11="Y",ROUNDUP($AN11*$BN$3,0),0)*$H11</f>
        <v>0</v>
      </c>
      <c r="BO11" s="77">
        <f>IF($A11&lt;&gt;"SP",ROUND($BO$3*$AN11,0)*$H11,0)</f>
        <v>0</v>
      </c>
      <c r="BP11" s="77">
        <f>IF($T11&gt;24,2000,IF($T11&gt;19,1750,IF($T11&gt;14,1500,IF($T11&gt;9.9999999999999,1000,0))))*$H11</f>
        <v>0</v>
      </c>
      <c r="BQ11" s="77">
        <v>0</v>
      </c>
      <c r="BR11" s="80">
        <f>SUM(AO11:AW11)+SUM(BC11:BQ11)</f>
        <v>2922</v>
      </c>
    </row>
    <row r="12" spans="1:70" s="171" customFormat="1" x14ac:dyDescent="0.35">
      <c r="A12" s="161"/>
      <c r="B12" s="161"/>
      <c r="C12" s="161"/>
      <c r="D12" s="161"/>
      <c r="E12" s="161"/>
      <c r="F12" s="162"/>
      <c r="G12" s="163">
        <f>SUBTOTAL(9,G9:G11)</f>
        <v>2</v>
      </c>
      <c r="H12" s="163"/>
      <c r="I12" s="161" t="s">
        <v>550</v>
      </c>
      <c r="J12" s="161"/>
      <c r="K12" s="161"/>
      <c r="L12" s="164"/>
      <c r="M12" s="161"/>
      <c r="N12" s="161"/>
      <c r="O12" s="161"/>
      <c r="P12" s="161"/>
      <c r="Q12" s="186"/>
      <c r="R12" s="200"/>
      <c r="S12" s="208"/>
      <c r="T12" s="163"/>
      <c r="U12" s="161"/>
      <c r="V12" s="165"/>
      <c r="W12" s="166"/>
      <c r="X12" s="165"/>
      <c r="Y12" s="166"/>
      <c r="Z12" s="161"/>
      <c r="AA12" s="167"/>
      <c r="AB12" s="164"/>
      <c r="AC12" s="168"/>
      <c r="AD12" s="168"/>
      <c r="AE12" s="168"/>
      <c r="AF12" s="168"/>
      <c r="AG12" s="168"/>
      <c r="AH12" s="168"/>
      <c r="AI12" s="168"/>
      <c r="AJ12" s="161"/>
      <c r="AK12" s="161"/>
      <c r="AL12" s="161"/>
      <c r="AM12" s="169"/>
      <c r="AN12" s="189">
        <f t="shared" ref="AN12:BR12" si="4">SUBTOTAL(9,AN9:AN11)</f>
        <v>183508</v>
      </c>
      <c r="AO12" s="170">
        <f t="shared" si="4"/>
        <v>182307</v>
      </c>
      <c r="AP12" s="170">
        <f t="shared" si="4"/>
        <v>0</v>
      </c>
      <c r="AQ12" s="170">
        <f t="shared" si="4"/>
        <v>601</v>
      </c>
      <c r="AR12" s="170">
        <f t="shared" si="4"/>
        <v>0</v>
      </c>
      <c r="AS12" s="170">
        <f t="shared" si="4"/>
        <v>0</v>
      </c>
      <c r="AT12" s="170">
        <f t="shared" si="4"/>
        <v>0</v>
      </c>
      <c r="AU12" s="170">
        <f t="shared" si="4"/>
        <v>600</v>
      </c>
      <c r="AV12" s="170">
        <f t="shared" si="4"/>
        <v>0</v>
      </c>
      <c r="AW12" s="170">
        <f t="shared" si="4"/>
        <v>0</v>
      </c>
      <c r="AX12" s="170">
        <f t="shared" si="4"/>
        <v>0</v>
      </c>
      <c r="AY12" s="170">
        <f t="shared" si="4"/>
        <v>0</v>
      </c>
      <c r="AZ12" s="170">
        <f t="shared" si="4"/>
        <v>0</v>
      </c>
      <c r="BA12" s="170">
        <f t="shared" si="4"/>
        <v>0</v>
      </c>
      <c r="BB12" s="170">
        <f t="shared" si="4"/>
        <v>0</v>
      </c>
      <c r="BC12" s="170">
        <f t="shared" si="4"/>
        <v>0</v>
      </c>
      <c r="BD12" s="170">
        <f t="shared" si="4"/>
        <v>1575</v>
      </c>
      <c r="BE12" s="170">
        <f t="shared" si="4"/>
        <v>2500</v>
      </c>
      <c r="BF12" s="170">
        <f t="shared" si="4"/>
        <v>327.60000000000002</v>
      </c>
      <c r="BG12" s="170">
        <f t="shared" si="4"/>
        <v>778</v>
      </c>
      <c r="BH12" s="170">
        <f t="shared" si="4"/>
        <v>12284</v>
      </c>
      <c r="BI12" s="170">
        <f t="shared" si="4"/>
        <v>2000</v>
      </c>
      <c r="BJ12" s="170">
        <f t="shared" si="4"/>
        <v>480</v>
      </c>
      <c r="BK12" s="170">
        <f t="shared" si="4"/>
        <v>31363</v>
      </c>
      <c r="BL12" s="170">
        <f t="shared" si="4"/>
        <v>188</v>
      </c>
      <c r="BM12" s="170">
        <f t="shared" si="4"/>
        <v>288</v>
      </c>
      <c r="BN12" s="170">
        <f t="shared" si="4"/>
        <v>2662</v>
      </c>
      <c r="BO12" s="170">
        <f t="shared" si="4"/>
        <v>331</v>
      </c>
      <c r="BP12" s="170">
        <f t="shared" si="4"/>
        <v>1500</v>
      </c>
      <c r="BQ12" s="170">
        <f t="shared" si="4"/>
        <v>0</v>
      </c>
      <c r="BR12" s="170">
        <f t="shared" si="4"/>
        <v>239784.6</v>
      </c>
    </row>
    <row r="13" spans="1:70" outlineLevel="1" x14ac:dyDescent="0.35">
      <c r="A13" s="1" t="s">
        <v>6</v>
      </c>
      <c r="B13" s="1" t="s">
        <v>7</v>
      </c>
      <c r="C13" s="1" t="s">
        <v>8</v>
      </c>
      <c r="D13" s="1" t="s">
        <v>27</v>
      </c>
      <c r="E13" s="1" t="s">
        <v>30</v>
      </c>
      <c r="F13" s="2">
        <v>1</v>
      </c>
      <c r="G13" s="66">
        <v>1</v>
      </c>
      <c r="H13" s="66">
        <v>1</v>
      </c>
      <c r="I13" s="1" t="s">
        <v>611</v>
      </c>
      <c r="J13" s="1" t="s">
        <v>612</v>
      </c>
      <c r="K13" s="1" t="s">
        <v>31</v>
      </c>
      <c r="L13" s="76" t="str">
        <f>IF(M13="","N",STEP!$J$22)</f>
        <v>N</v>
      </c>
      <c r="M13" s="1" t="s">
        <v>11</v>
      </c>
      <c r="N13" s="1" t="s">
        <v>11</v>
      </c>
      <c r="O13" s="1" t="s">
        <v>11</v>
      </c>
      <c r="P13" s="1"/>
      <c r="Q13" s="185">
        <v>20171018</v>
      </c>
      <c r="R13" s="196">
        <v>42661</v>
      </c>
      <c r="S13" s="197">
        <f>IF(A13="FT",IF(R13&gt;$S$1,0,(DATEDIF(R13,$S$1,"M"))),0)</f>
        <v>71</v>
      </c>
      <c r="T13" s="66">
        <f>ROUNDDOWN(IF(A13="FT",DATEDIF(R13,$T$1,"y"),0),0)</f>
        <v>6</v>
      </c>
      <c r="U13" s="1" t="s">
        <v>12</v>
      </c>
      <c r="V13" s="70">
        <v>67.597800000000007</v>
      </c>
      <c r="W13" s="74"/>
      <c r="X13" s="70"/>
      <c r="Y13" s="74"/>
      <c r="Z13" s="1">
        <v>8810</v>
      </c>
      <c r="AA13" s="112">
        <f>VLOOKUP(Z13,'WRK COMP'!$A$1:$E$17,5,FALSE)</f>
        <v>1.0169999999999999E-3</v>
      </c>
      <c r="AB13" s="76" t="s">
        <v>13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12.5</v>
      </c>
      <c r="AI13" s="68">
        <v>0</v>
      </c>
      <c r="AJ13" s="9" t="s">
        <v>49</v>
      </c>
      <c r="AK13" s="1" t="s">
        <v>32</v>
      </c>
      <c r="AL13" s="1" t="s">
        <v>16</v>
      </c>
      <c r="AM13" s="78">
        <f>IF(F13&gt;0.79,IF(ROUNDUP(IF(B13="FS",(V13*HRS!$B$9),(V13*HRS!$L$2))*2,-3)&gt;150000,150000,(ROUNDUP(IF(B13="FS",(V13*HRS!$B$9),(V13*HRS!$L$2))*2,-3))),0)</f>
        <v>150000</v>
      </c>
      <c r="AN13" s="188">
        <f>SUM(AO13:BB13)</f>
        <v>141204</v>
      </c>
      <c r="AO13" s="77">
        <f>IF(L13="N",IF(B13="FS",ROUNDUP($V13*HRS!$B$9*'Position Control'!F13,0),ROUNDUP('Position Control'!$V13*HRS!$L$2*'Position Control'!F13,0)),IF('Position Control'!B13="FS",ROUNDUP(('Position Control'!V13*HRS!$B$9*'Position Control'!W13*'Position Control'!F13)+('Position Control'!X13*HRS!$B$9*'Position Control'!Y13*'Position Control'!F13),0),ROUNDUP(('Position Control'!V13*HRS!$L$2*'Position Control'!W13*'Position Control'!F13)+('Position Control'!X13*HRS!$L$2*'Position Control'!Y13*'Position Control'!F13),0)))*'Position Control'!H13</f>
        <v>140604</v>
      </c>
      <c r="AP13" s="77">
        <f>ROUNDUP(52*AC13,0)*H13</f>
        <v>0</v>
      </c>
      <c r="AQ13" s="77">
        <f>IF(B13="FS",ROUNDUP(24*AD13,0),IF(B13="POL",ROUNDUP(26*AD13,0),ROUNDUP(52*AD13,0)))*$H13</f>
        <v>0</v>
      </c>
      <c r="AR13" s="77">
        <f>IF(B13="FS",ROUNDUP(AG13*24,0),ROUNDUP(52*AG13,0))*H13</f>
        <v>0</v>
      </c>
      <c r="AS13" s="77">
        <v>0</v>
      </c>
      <c r="AT13" s="79">
        <f>ROUNDUP(26*AF13,0)*H13</f>
        <v>0</v>
      </c>
      <c r="AU13" s="77">
        <f>IF(B13="FS",ROUNDUP(24*AH13,0),IF(B13="POL",ROUNDUP(26*AH13,0),ROUNDUP(48*AH13,0)))*$H13</f>
        <v>600</v>
      </c>
      <c r="AV13" s="77">
        <v>0</v>
      </c>
      <c r="AW13" s="77">
        <f>IF(B13="FS",ROUNDUP(24*AE13,0),IF(B13="POL",ROUNDUP(26*AE13,0),ROUNDUP(52*AE13,0)))*$H13</f>
        <v>0</v>
      </c>
      <c r="AX13" s="77">
        <f>IF(AND(Q13&lt;20220401,A13&lt;&gt;"SP"),($AX$3*(AO13+BE13)),0)</f>
        <v>0</v>
      </c>
      <c r="AY13" s="77">
        <f>IF(AND($L13="N",$Q13&lt;20220401,$A13&lt;&gt;"SP",$AO13&lt;100000),($AY$3*($AO13+$BE13)),0)</f>
        <v>0</v>
      </c>
      <c r="AZ13" s="77">
        <f>IF(AND($L13="N",$Q13&lt;20220401,$A13&lt;&gt;"SP",$AO13&gt;100000),($AZ$3*($AO13+$BE13)),0)</f>
        <v>0</v>
      </c>
      <c r="BA13" s="77">
        <f>IF(AND($L13="N",$Q13&lt;20220401,$A13&lt;&gt;"SP"),($BA$3*($AO13+$BE13)),0)</f>
        <v>0</v>
      </c>
      <c r="BB13" s="77">
        <f>IF(AND($L13="Y",$Q13&lt;20220401,$A13&lt;&gt;"SP"),($BB$3*($AO13+$BE13)),0)</f>
        <v>0</v>
      </c>
      <c r="BC13" s="77">
        <f t="shared" si="1"/>
        <v>0</v>
      </c>
      <c r="BD13" s="77">
        <f>IF($S13&gt;=12,IF(($S13*5)&gt;1200,1200,$S13*5),0)*$H13</f>
        <v>355</v>
      </c>
      <c r="BE13" s="77">
        <v>0</v>
      </c>
      <c r="BF13" s="77">
        <f>$AM13*$BF$3*12*$H13</f>
        <v>180</v>
      </c>
      <c r="BG13" s="77">
        <f>VLOOKUP($AJ13,BENE!$I$2:$N$9,6,FALSE)*'Position Control'!$H13</f>
        <v>0</v>
      </c>
      <c r="BH13" s="77">
        <f>VLOOKUP($AK13,BENE!$A$2:$F$19,6,FALSE)*'Position Control'!$H13</f>
        <v>6273</v>
      </c>
      <c r="BI13" s="77">
        <f>VLOOKUP($AK13,BENE!$A$2:$G$19,7,FALSE)*'Position Control'!$H13</f>
        <v>1000</v>
      </c>
      <c r="BJ13" s="77">
        <f>VLOOKUP($AL13,BENE!$P$2:$S$6,4,FALSE)*'Position Control'!$H13</f>
        <v>240</v>
      </c>
      <c r="BK13" s="77">
        <f>IF($F13&gt;HRS!$H$2,ROUNDUP(((($AN13+$BE13)*$BK$3)/12*9)+(($AN13+$BE13)*HRS!$B$10/12*3),0),0)*$H13</f>
        <v>23807</v>
      </c>
      <c r="BL13" s="80">
        <f>ROUNDUP($AN13*$AA13,0)*$H13</f>
        <v>144</v>
      </c>
      <c r="BM13" s="77">
        <f>ROUNDUP(IF($AN13&gt;9000,$BM$3*9000,$BM$3*$AN13),0)*$H13</f>
        <v>144</v>
      </c>
      <c r="BN13" s="77">
        <f>IF($AB13="Y",ROUNDUP($AN13*$BN$3,0),0)*$H13</f>
        <v>2048</v>
      </c>
      <c r="BO13" s="77">
        <f>IF($A13&lt;&gt;"SP",ROUND($BO$3*$AN13,0)*$H13,0)</f>
        <v>254</v>
      </c>
      <c r="BP13" s="77">
        <f>IF($T13&gt;24,2000,IF($T13&gt;19,1750,IF($T13&gt;14,1500,IF($T13&gt;9.9999999999999,1000,0))))*$H13</f>
        <v>0</v>
      </c>
      <c r="BQ13" s="77">
        <v>0</v>
      </c>
      <c r="BR13" s="80">
        <f>SUM(AO13:AW13)+SUM(BC13:BQ13)</f>
        <v>175649</v>
      </c>
    </row>
    <row r="14" spans="1:70" outlineLevel="1" x14ac:dyDescent="0.35">
      <c r="A14" s="1" t="s">
        <v>6</v>
      </c>
      <c r="B14" s="1" t="s">
        <v>7</v>
      </c>
      <c r="C14" s="1" t="s">
        <v>8</v>
      </c>
      <c r="D14" s="1" t="s">
        <v>27</v>
      </c>
      <c r="E14" s="1" t="s">
        <v>30</v>
      </c>
      <c r="F14" s="2">
        <v>1</v>
      </c>
      <c r="G14" s="66">
        <v>1</v>
      </c>
      <c r="H14" s="66">
        <v>1</v>
      </c>
      <c r="I14" s="1" t="s">
        <v>611</v>
      </c>
      <c r="J14" s="1" t="s">
        <v>612</v>
      </c>
      <c r="K14" s="1" t="s">
        <v>34</v>
      </c>
      <c r="L14" s="76" t="str">
        <f>IF(M14="","N",STEP!$J$22)</f>
        <v>N</v>
      </c>
      <c r="M14" s="1" t="s">
        <v>11</v>
      </c>
      <c r="N14" s="1" t="s">
        <v>11</v>
      </c>
      <c r="O14" s="1" t="s">
        <v>11</v>
      </c>
      <c r="P14" s="1"/>
      <c r="Q14" s="185">
        <v>20141210</v>
      </c>
      <c r="R14" s="196">
        <v>41983</v>
      </c>
      <c r="S14" s="197">
        <f>IF(A14="FT",IF(R14&gt;$S$1,0,(DATEDIF(R14,$S$1,"M"))),0)</f>
        <v>93</v>
      </c>
      <c r="T14" s="66">
        <f>ROUNDDOWN(IF(A14="FT",DATEDIF(R14,$T$1,"y"),0),0)</f>
        <v>8</v>
      </c>
      <c r="U14" s="1" t="s">
        <v>12</v>
      </c>
      <c r="V14" s="70">
        <v>35.5289</v>
      </c>
      <c r="W14" s="74"/>
      <c r="X14" s="70"/>
      <c r="Y14" s="74"/>
      <c r="Z14" s="1">
        <v>8810</v>
      </c>
      <c r="AA14" s="112">
        <f>VLOOKUP(Z14,'WRK COMP'!$A$1:$E$17,5,FALSE)</f>
        <v>1.0169999999999999E-3</v>
      </c>
      <c r="AB14" s="76" t="s">
        <v>13</v>
      </c>
      <c r="AC14" s="68">
        <v>0</v>
      </c>
      <c r="AD14" s="68">
        <v>23.08</v>
      </c>
      <c r="AE14" s="68">
        <v>0</v>
      </c>
      <c r="AF14" s="68">
        <v>0</v>
      </c>
      <c r="AG14" s="68">
        <v>0</v>
      </c>
      <c r="AH14" s="68">
        <v>0</v>
      </c>
      <c r="AI14" s="68">
        <v>0</v>
      </c>
      <c r="AJ14" s="1" t="s">
        <v>25</v>
      </c>
      <c r="AK14" s="1" t="s">
        <v>35</v>
      </c>
      <c r="AL14" s="1" t="s">
        <v>36</v>
      </c>
      <c r="AM14" s="78">
        <f>IF(F14&gt;0.79,IF(ROUNDUP(IF(B14="FS",(V14*HRS!$B$9),(V14*HRS!$L$2))*2,-3)&gt;150000,150000,(ROUNDUP(IF(B14="FS",(V14*HRS!$B$9),(V14*HRS!$L$2))*2,-3))),0)</f>
        <v>148000</v>
      </c>
      <c r="AN14" s="188">
        <f>SUM(AO14:BB14)</f>
        <v>75102</v>
      </c>
      <c r="AO14" s="77">
        <f>IF(L14="N",IF(B14="FS",ROUNDUP($V14*HRS!$B$9*'Position Control'!F14,0),ROUNDUP('Position Control'!$V14*HRS!$L$2*'Position Control'!F14,0)),IF('Position Control'!B14="FS",ROUNDUP(('Position Control'!V14*HRS!$B$9*'Position Control'!W14*'Position Control'!F14)+('Position Control'!X14*HRS!$B$9*'Position Control'!Y14*'Position Control'!F14),0),ROUNDUP(('Position Control'!V14*HRS!$L$2*'Position Control'!W14*'Position Control'!F14)+('Position Control'!X14*HRS!$L$2*'Position Control'!Y14*'Position Control'!F14),0)))*'Position Control'!H14</f>
        <v>73901</v>
      </c>
      <c r="AP14" s="77">
        <f>ROUNDUP(52*AC14,0)*H14</f>
        <v>0</v>
      </c>
      <c r="AQ14" s="77">
        <f>IF(B14="FS",ROUNDUP(24*AD14,0),IF(B14="POL",ROUNDUP(26*AD14,0),ROUNDUP(52*AD14,0)))*$H14</f>
        <v>1201</v>
      </c>
      <c r="AR14" s="77">
        <f>IF(B14="FS",ROUNDUP(AG14*24,0),ROUNDUP(52*AG14,0))*H14</f>
        <v>0</v>
      </c>
      <c r="AS14" s="77">
        <v>0</v>
      </c>
      <c r="AT14" s="79">
        <f>ROUNDUP(26*AF14,0)*H14</f>
        <v>0</v>
      </c>
      <c r="AU14" s="77">
        <f>IF(B14="FS",ROUNDUP(24*AH14,0),IF(B14="POL",ROUNDUP(26*AH14,0),ROUNDUP(48*AH14,0)))*$H14</f>
        <v>0</v>
      </c>
      <c r="AV14" s="77">
        <v>0</v>
      </c>
      <c r="AW14" s="77">
        <f>IF(B14="FS",ROUNDUP(24*AE14,0),IF(B14="POL",ROUNDUP(26*AE14,0),ROUNDUP(52*AE14,0)))*$H14</f>
        <v>0</v>
      </c>
      <c r="AX14" s="77">
        <f>IF(AND(Q14&lt;20220401,A14&lt;&gt;"SP"),($AX$3*(AO14+BE14)),0)</f>
        <v>0</v>
      </c>
      <c r="AY14" s="77">
        <f>IF(AND($L14="N",$Q14&lt;20220401,$A14&lt;&gt;"SP",$AO14&lt;100000),($AY$3*($AO14+$BE14)),0)</f>
        <v>0</v>
      </c>
      <c r="AZ14" s="77">
        <f>IF(AND($L14="N",$Q14&lt;20220401,$A14&lt;&gt;"SP",$AO14&gt;100000),($AZ$3*($AO14+$BE14)),0)</f>
        <v>0</v>
      </c>
      <c r="BA14" s="77">
        <f>IF(AND($L14="N",$Q14&lt;20220401,$A14&lt;&gt;"SP"),($BA$3*($AO14+$BE14)),0)</f>
        <v>0</v>
      </c>
      <c r="BB14" s="77">
        <f>IF(AND($L14="Y",$Q14&lt;20220401,$A14&lt;&gt;"SP"),($BB$3*($AO14+$BE14)),0)</f>
        <v>0</v>
      </c>
      <c r="BC14" s="77">
        <f t="shared" si="1"/>
        <v>0</v>
      </c>
      <c r="BD14" s="77">
        <f>IF($S14&gt;=12,IF(($S14*5)&gt;1200,1200,$S14*5),0)*$H14</f>
        <v>465</v>
      </c>
      <c r="BE14" s="77">
        <v>0</v>
      </c>
      <c r="BF14" s="77">
        <f>$AM14*$BF$3*12*$H14</f>
        <v>177.60000000000002</v>
      </c>
      <c r="BG14" s="77">
        <f>VLOOKUP($AJ14,BENE!$I$2:$N$9,6,FALSE)*'Position Control'!$H14</f>
        <v>414</v>
      </c>
      <c r="BH14" s="77">
        <f>VLOOKUP($AK14,BENE!$A$2:$F$19,6,FALSE)*'Position Control'!$H14</f>
        <v>10067</v>
      </c>
      <c r="BI14" s="77">
        <f>VLOOKUP($AK14,BENE!$A$2:$G$19,7,FALSE)*'Position Control'!$H14</f>
        <v>1500</v>
      </c>
      <c r="BJ14" s="77">
        <f>VLOOKUP($AL14,BENE!$P$2:$S$6,4,FALSE)*'Position Control'!$H14</f>
        <v>312</v>
      </c>
      <c r="BK14" s="77">
        <f>IF($F14&gt;HRS!$H$2,ROUNDUP(((($AN14+$BE14)*$BK$3)/12*9)+(($AN14+$BE14)*HRS!$B$10/12*3),0),0)*$H14</f>
        <v>12663</v>
      </c>
      <c r="BL14" s="80">
        <f>ROUNDUP($AN14*$AA14,0)*$H14</f>
        <v>77</v>
      </c>
      <c r="BM14" s="77">
        <f>ROUNDUP(IF($AN14&gt;9000,$BM$3*9000,$BM$3*$AN14),0)*$H14</f>
        <v>144</v>
      </c>
      <c r="BN14" s="77">
        <f>IF($AB14="Y",ROUNDUP($AN14*$BN$3,0),0)*$H14</f>
        <v>1089</v>
      </c>
      <c r="BO14" s="77">
        <f>IF($A14&lt;&gt;"SP",ROUND($BO$3*$AN14,0)*$H14,0)</f>
        <v>135</v>
      </c>
      <c r="BP14" s="77">
        <f>IF($T14&gt;24,2000,IF($T14&gt;19,1750,IF($T14&gt;14,1500,IF($T14&gt;9.9999999999999,1000,0))))*$H14</f>
        <v>0</v>
      </c>
      <c r="BQ14" s="77">
        <v>0</v>
      </c>
      <c r="BR14" s="80">
        <f>SUM(AO14:AW14)+SUM(BC14:BQ14)</f>
        <v>102145.60000000001</v>
      </c>
    </row>
    <row r="15" spans="1:70" outlineLevel="1" x14ac:dyDescent="0.35">
      <c r="A15" s="1" t="s">
        <v>6</v>
      </c>
      <c r="B15" s="1" t="s">
        <v>7</v>
      </c>
      <c r="C15" s="1" t="s">
        <v>8</v>
      </c>
      <c r="D15" s="1" t="s">
        <v>27</v>
      </c>
      <c r="E15" s="1" t="s">
        <v>30</v>
      </c>
      <c r="F15" s="2">
        <v>1</v>
      </c>
      <c r="G15" s="66">
        <v>1</v>
      </c>
      <c r="H15" s="66">
        <v>1</v>
      </c>
      <c r="I15" s="1" t="s">
        <v>611</v>
      </c>
      <c r="J15" s="1" t="s">
        <v>612</v>
      </c>
      <c r="K15" s="1" t="s">
        <v>33</v>
      </c>
      <c r="L15" s="76" t="str">
        <f>IF(M15="","N",STEP!$J$22)</f>
        <v>N</v>
      </c>
      <c r="M15" s="1" t="s">
        <v>11</v>
      </c>
      <c r="N15" s="1" t="s">
        <v>11</v>
      </c>
      <c r="O15" s="1" t="s">
        <v>11</v>
      </c>
      <c r="P15" s="1"/>
      <c r="Q15" s="185">
        <v>20140513</v>
      </c>
      <c r="R15" s="196">
        <v>41772</v>
      </c>
      <c r="S15" s="197">
        <f>IF(A15="FT",IF(R15&gt;$S$1,0,(DATEDIF(R15,$S$1,"M"))),0)</f>
        <v>100</v>
      </c>
      <c r="T15" s="66">
        <f>ROUNDDOWN(IF(A15="FT",DATEDIF(R15,$T$1,"y"),0),0)</f>
        <v>9</v>
      </c>
      <c r="U15" s="1" t="s">
        <v>12</v>
      </c>
      <c r="V15" s="70">
        <v>28.125</v>
      </c>
      <c r="W15" s="74"/>
      <c r="X15" s="70"/>
      <c r="Y15" s="74"/>
      <c r="Z15" s="1">
        <v>8810</v>
      </c>
      <c r="AA15" s="112">
        <f>VLOOKUP(Z15,'WRK COMP'!$A$1:$E$17,5,FALSE)</f>
        <v>1.0169999999999999E-3</v>
      </c>
      <c r="AB15" s="76" t="s">
        <v>13</v>
      </c>
      <c r="AC15" s="68">
        <v>0</v>
      </c>
      <c r="AD15" s="68">
        <v>51.91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1" t="s">
        <v>14</v>
      </c>
      <c r="AK15" s="1" t="s">
        <v>32</v>
      </c>
      <c r="AL15" s="1" t="s">
        <v>16</v>
      </c>
      <c r="AM15" s="78">
        <f>IF(F15&gt;0.79,IF(ROUNDUP(IF(B15="FS",(V15*HRS!$B$9),(V15*HRS!$L$2))*2,-3)&gt;150000,150000,(ROUNDUP(IF(B15="FS",(V15*HRS!$B$9),(V15*HRS!$L$2))*2,-3))),0)</f>
        <v>117000</v>
      </c>
      <c r="AN15" s="188">
        <f>SUM(AO15:BB15)</f>
        <v>61200</v>
      </c>
      <c r="AO15" s="77">
        <f>IF(L15="N",IF(B15="FS",ROUNDUP($V15*HRS!$B$9*'Position Control'!F15,0),ROUNDUP('Position Control'!$V15*HRS!$L$2*'Position Control'!F15,0)),IF('Position Control'!B15="FS",ROUNDUP(('Position Control'!V15*HRS!$B$9*'Position Control'!W15*'Position Control'!F15)+('Position Control'!X15*HRS!$B$9*'Position Control'!Y15*'Position Control'!F15),0),ROUNDUP(('Position Control'!V15*HRS!$L$2*'Position Control'!W15*'Position Control'!F15)+('Position Control'!X15*HRS!$L$2*'Position Control'!Y15*'Position Control'!F15),0)))*'Position Control'!H15</f>
        <v>58500</v>
      </c>
      <c r="AP15" s="77">
        <f>ROUNDUP(52*AC15,0)*H15</f>
        <v>0</v>
      </c>
      <c r="AQ15" s="77">
        <f>IF(B15="FS",ROUNDUP(24*AD15,0),IF(B15="POL",ROUNDUP(26*AD15,0),ROUNDUP(52*AD15,0)))*$H15</f>
        <v>2700</v>
      </c>
      <c r="AR15" s="77">
        <f>IF(B15="FS",ROUNDUP(AG15*24,0),ROUNDUP(52*AG15,0))*H15</f>
        <v>0</v>
      </c>
      <c r="AS15" s="77">
        <v>0</v>
      </c>
      <c r="AT15" s="79">
        <f>ROUNDUP(26*AF15,0)*H15</f>
        <v>0</v>
      </c>
      <c r="AU15" s="77">
        <f>IF(B15="FS",ROUNDUP(24*AH15,0),IF(B15="POL",ROUNDUP(26*AH15,0),ROUNDUP(48*AH15,0)))*$H15</f>
        <v>0</v>
      </c>
      <c r="AV15" s="77">
        <v>0</v>
      </c>
      <c r="AW15" s="77">
        <f>IF(B15="FS",ROUNDUP(24*AE15,0),IF(B15="POL",ROUNDUP(26*AE15,0),ROUNDUP(52*AE15,0)))*$H15</f>
        <v>0</v>
      </c>
      <c r="AX15" s="77">
        <f>IF(AND(Q15&lt;20220401,A15&lt;&gt;"SP"),($AX$3*(AO15+BE15)),0)</f>
        <v>0</v>
      </c>
      <c r="AY15" s="77">
        <f>IF(AND($L15="N",$Q15&lt;20220401,$A15&lt;&gt;"SP",$AO15&lt;100000),($AY$3*($AO15+$BE15)),0)</f>
        <v>0</v>
      </c>
      <c r="AZ15" s="77">
        <f>IF(AND($L15="N",$Q15&lt;20220401,$A15&lt;&gt;"SP",$AO15&gt;100000),($AZ$3*($AO15+$BE15)),0)</f>
        <v>0</v>
      </c>
      <c r="BA15" s="77">
        <f>IF(AND($L15="N",$Q15&lt;20220401,$A15&lt;&gt;"SP"),($BA$3*($AO15+$BE15)),0)</f>
        <v>0</v>
      </c>
      <c r="BB15" s="77">
        <f>IF(AND($L15="Y",$Q15&lt;20220401,$A15&lt;&gt;"SP"),($BB$3*($AO15+$BE15)),0)</f>
        <v>0</v>
      </c>
      <c r="BC15" s="77">
        <f t="shared" si="1"/>
        <v>0</v>
      </c>
      <c r="BD15" s="77">
        <f>IF($S15&gt;=12,IF(($S15*5)&gt;1200,1200,$S15*5),0)*$H15</f>
        <v>500</v>
      </c>
      <c r="BE15" s="77">
        <v>0</v>
      </c>
      <c r="BF15" s="77">
        <f>$AM15*$BF$3*12*$H15</f>
        <v>140.4</v>
      </c>
      <c r="BG15" s="77">
        <f>VLOOKUP($AJ15,BENE!$I$2:$N$9,6,FALSE)*'Position Control'!$H15</f>
        <v>389</v>
      </c>
      <c r="BH15" s="77">
        <f>VLOOKUP($AK15,BENE!$A$2:$F$19,6,FALSE)*'Position Control'!$H15</f>
        <v>6273</v>
      </c>
      <c r="BI15" s="77">
        <f>VLOOKUP($AK15,BENE!$A$2:$G$19,7,FALSE)*'Position Control'!$H15</f>
        <v>1000</v>
      </c>
      <c r="BJ15" s="77">
        <f>VLOOKUP($AL15,BENE!$P$2:$S$6,4,FALSE)*'Position Control'!$H15</f>
        <v>240</v>
      </c>
      <c r="BK15" s="77">
        <f>IF($F15&gt;HRS!$H$2,ROUNDUP(((($AN15+$BE15)*$BK$3)/12*9)+(($AN15+$BE15)*HRS!$B$10/12*3),0),0)*$H15</f>
        <v>10319</v>
      </c>
      <c r="BL15" s="80">
        <f>ROUNDUP($AN15*$AA15,0)*$H15</f>
        <v>63</v>
      </c>
      <c r="BM15" s="77">
        <f>ROUNDUP(IF($AN15&gt;9000,$BM$3*9000,$BM$3*$AN15),0)*$H15</f>
        <v>144</v>
      </c>
      <c r="BN15" s="77">
        <f>IF($AB15="Y",ROUNDUP($AN15*$BN$3,0),0)*$H15</f>
        <v>888</v>
      </c>
      <c r="BO15" s="77">
        <f>IF($A15&lt;&gt;"SP",ROUND($BO$3*$AN15,0)*$H15,0)</f>
        <v>110</v>
      </c>
      <c r="BP15" s="77">
        <f>IF($T15&gt;24,2000,IF($T15&gt;19,1750,IF($T15&gt;14,1500,IF($T15&gt;9.9999999999999,1000,0))))*$H15</f>
        <v>0</v>
      </c>
      <c r="BQ15" s="77">
        <v>0</v>
      </c>
      <c r="BR15" s="80">
        <f>SUM(AO15:AW15)+SUM(BC15:BQ15)</f>
        <v>81266.399999999994</v>
      </c>
    </row>
    <row r="16" spans="1:70" outlineLevel="1" x14ac:dyDescent="0.35">
      <c r="A16" s="1" t="s">
        <v>6</v>
      </c>
      <c r="B16" s="1" t="s">
        <v>7</v>
      </c>
      <c r="C16" s="1" t="s">
        <v>8</v>
      </c>
      <c r="D16" s="1" t="s">
        <v>27</v>
      </c>
      <c r="E16" s="1" t="s">
        <v>30</v>
      </c>
      <c r="F16" s="2">
        <v>1</v>
      </c>
      <c r="G16" s="66">
        <v>1</v>
      </c>
      <c r="H16" s="66">
        <v>1</v>
      </c>
      <c r="I16" s="1" t="s">
        <v>611</v>
      </c>
      <c r="J16" s="1" t="s">
        <v>612</v>
      </c>
      <c r="K16" s="1" t="s">
        <v>37</v>
      </c>
      <c r="L16" s="76" t="str">
        <f>IF(M16="","N",STEP!$J$22)</f>
        <v>N</v>
      </c>
      <c r="M16" s="1" t="s">
        <v>11</v>
      </c>
      <c r="N16" s="1" t="s">
        <v>11</v>
      </c>
      <c r="O16" s="1" t="s">
        <v>11</v>
      </c>
      <c r="P16" s="1"/>
      <c r="Q16" s="185">
        <v>20220328</v>
      </c>
      <c r="R16" s="196">
        <v>44648</v>
      </c>
      <c r="S16" s="197">
        <f>IF(A16="FT",IF(R16&gt;$S$1,0,(DATEDIF(R16,$S$1,"M"))),0)</f>
        <v>6</v>
      </c>
      <c r="T16" s="66">
        <f>ROUNDDOWN(IF(A16="FT",DATEDIF(R16,$T$1,"y"),0),0)</f>
        <v>1</v>
      </c>
      <c r="U16" s="1" t="s">
        <v>12</v>
      </c>
      <c r="V16" s="70">
        <v>30.288499999999999</v>
      </c>
      <c r="W16" s="74"/>
      <c r="X16" s="70"/>
      <c r="Y16" s="74"/>
      <c r="Z16" s="1">
        <v>8810</v>
      </c>
      <c r="AA16" s="112">
        <f>VLOOKUP(Z16,'WRK COMP'!$A$1:$E$17,5,FALSE)</f>
        <v>1.0169999999999999E-3</v>
      </c>
      <c r="AB16" s="76" t="s">
        <v>13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1" t="s">
        <v>14</v>
      </c>
      <c r="AK16" s="1" t="s">
        <v>15</v>
      </c>
      <c r="AL16" s="1" t="s">
        <v>16</v>
      </c>
      <c r="AM16" s="78">
        <f>IF(F16&gt;0.79,IF(ROUNDUP(IF(B16="FS",(V16*HRS!$B$9),(V16*HRS!$L$2))*2,-3)&gt;150000,150000,(ROUNDUP(IF(B16="FS",(V16*HRS!$B$9),(V16*HRS!$L$2))*2,-3))),0)</f>
        <v>127000</v>
      </c>
      <c r="AN16" s="188">
        <f>SUM(AO16:BB16)</f>
        <v>63001</v>
      </c>
      <c r="AO16" s="77">
        <f>IF(L16="N",IF(B16="FS",ROUNDUP($V16*HRS!$B$9*'Position Control'!F16,0),ROUNDUP('Position Control'!$V16*HRS!$L$2*'Position Control'!F16,0)),IF('Position Control'!B16="FS",ROUNDUP(('Position Control'!V16*HRS!$B$9*'Position Control'!W16*'Position Control'!F16)+('Position Control'!X16*HRS!$B$9*'Position Control'!Y16*'Position Control'!F16),0),ROUNDUP(('Position Control'!V16*HRS!$L$2*'Position Control'!W16*'Position Control'!F16)+('Position Control'!X16*HRS!$L$2*'Position Control'!Y16*'Position Control'!F16),0)))*'Position Control'!H16</f>
        <v>63001</v>
      </c>
      <c r="AP16" s="77">
        <f>ROUNDUP(52*AC16,0)*H16</f>
        <v>0</v>
      </c>
      <c r="AQ16" s="77">
        <f>IF(B16="FS",ROUNDUP(24*AD16,0),IF(B16="POL",ROUNDUP(26*AD16,0),ROUNDUP(52*AD16,0)))*$H16</f>
        <v>0</v>
      </c>
      <c r="AR16" s="77">
        <f>IF(B16="FS",ROUNDUP(AG16*24,0),ROUNDUP(52*AG16,0))*H16</f>
        <v>0</v>
      </c>
      <c r="AS16" s="77">
        <v>0</v>
      </c>
      <c r="AT16" s="79">
        <f>ROUNDUP(26*AF16,0)*H16</f>
        <v>0</v>
      </c>
      <c r="AU16" s="77">
        <f>IF(B16="FS",ROUNDUP(24*AH16,0),IF(B16="POL",ROUNDUP(26*AH16,0),ROUNDUP(48*AH16,0)))*$H16</f>
        <v>0</v>
      </c>
      <c r="AV16" s="77">
        <v>0</v>
      </c>
      <c r="AW16" s="77">
        <f>IF(B16="FS",ROUNDUP(24*AE16,0),IF(B16="POL",ROUNDUP(26*AE16,0),ROUNDUP(52*AE16,0)))*$H16</f>
        <v>0</v>
      </c>
      <c r="AX16" s="77">
        <f>IF(AND(Q16&lt;20220401,A16&lt;&gt;"SP"),($AX$3*(AO16+BE16)),0)</f>
        <v>0</v>
      </c>
      <c r="AY16" s="77">
        <f>IF(AND($L16="N",$Q16&lt;20220401,$A16&lt;&gt;"SP",$AO16&lt;100000),($AY$3*($AO16+$BE16)),0)</f>
        <v>0</v>
      </c>
      <c r="AZ16" s="77">
        <f>IF(AND($L16="N",$Q16&lt;20220401,$A16&lt;&gt;"SP",$AO16&gt;100000),($AZ$3*($AO16+$BE16)),0)</f>
        <v>0</v>
      </c>
      <c r="BA16" s="77">
        <f>IF(AND($L16="N",$Q16&lt;20220401,$A16&lt;&gt;"SP"),($BA$3*($AO16+$BE16)),0)</f>
        <v>0</v>
      </c>
      <c r="BB16" s="77">
        <f>IF(AND($L16="Y",$Q16&lt;20220401,$A16&lt;&gt;"SP"),($BB$3*($AO16+$BE16)),0)</f>
        <v>0</v>
      </c>
      <c r="BC16" s="77">
        <f t="shared" si="1"/>
        <v>0</v>
      </c>
      <c r="BD16" s="77">
        <f>IF($S16&gt;=12,IF(($S16*5)&gt;1200,1200,$S16*5),0)*$H16</f>
        <v>0</v>
      </c>
      <c r="BE16" s="77">
        <v>0</v>
      </c>
      <c r="BF16" s="77">
        <f>$AM16*$BF$3*12*$H16</f>
        <v>152.4</v>
      </c>
      <c r="BG16" s="77">
        <f>VLOOKUP($AJ16,BENE!$I$2:$N$9,6,FALSE)*'Position Control'!$H16</f>
        <v>389</v>
      </c>
      <c r="BH16" s="77">
        <f>VLOOKUP($AK16,BENE!$A$2:$F$19,6,FALSE)*'Position Control'!$H16</f>
        <v>6142</v>
      </c>
      <c r="BI16" s="77">
        <f>VLOOKUP($AK16,BENE!$A$2:$G$19,7,FALSE)*'Position Control'!$H16</f>
        <v>1000</v>
      </c>
      <c r="BJ16" s="77">
        <f>VLOOKUP($AL16,BENE!$P$2:$S$6,4,FALSE)*'Position Control'!$H16</f>
        <v>240</v>
      </c>
      <c r="BK16" s="77">
        <f>IF($F16&gt;HRS!$H$2,ROUNDUP(((($AN16+$BE16)*$BK$3)/12*9)+(($AN16+$BE16)*HRS!$B$10/12*3),0),0)*$H16</f>
        <v>10622</v>
      </c>
      <c r="BL16" s="80">
        <f>ROUNDUP($AN16*$AA16,0)*$H16</f>
        <v>65</v>
      </c>
      <c r="BM16" s="77">
        <f>ROUNDUP(IF($AN16&gt;9000,$BM$3*9000,$BM$3*$AN16),0)*$H16</f>
        <v>144</v>
      </c>
      <c r="BN16" s="77">
        <f>IF($AB16="Y",ROUNDUP($AN16*$BN$3,0),0)*$H16</f>
        <v>914</v>
      </c>
      <c r="BO16" s="77">
        <f>IF($A16&lt;&gt;"SP",ROUND($BO$3*$AN16,0)*$H16,0)</f>
        <v>113</v>
      </c>
      <c r="BP16" s="77">
        <f>IF($T16&gt;24,2000,IF($T16&gt;19,1750,IF($T16&gt;14,1500,IF($T16&gt;9.9999999999999,1000,0))))*$H16</f>
        <v>0</v>
      </c>
      <c r="BQ16" s="77">
        <v>0</v>
      </c>
      <c r="BR16" s="80">
        <f>SUM(AO16:AW16)+SUM(BC16:BQ16)</f>
        <v>82782.399999999994</v>
      </c>
    </row>
    <row r="17" spans="1:70" outlineLevel="1" x14ac:dyDescent="0.35">
      <c r="A17" s="1" t="s">
        <v>6</v>
      </c>
      <c r="B17" s="1" t="s">
        <v>7</v>
      </c>
      <c r="C17" s="1" t="s">
        <v>8</v>
      </c>
      <c r="D17" s="1" t="s">
        <v>27</v>
      </c>
      <c r="E17" s="1" t="s">
        <v>30</v>
      </c>
      <c r="F17" s="2">
        <v>1</v>
      </c>
      <c r="G17" s="66">
        <v>0</v>
      </c>
      <c r="H17" s="66">
        <v>1</v>
      </c>
      <c r="I17" s="10" t="s">
        <v>409</v>
      </c>
      <c r="J17" s="10" t="s">
        <v>410</v>
      </c>
      <c r="K17" s="1"/>
      <c r="L17" s="76" t="str">
        <f>IF(M17="","N",STEP!$J$22)</f>
        <v>N</v>
      </c>
      <c r="M17" s="1"/>
      <c r="N17" s="1"/>
      <c r="O17" s="1"/>
      <c r="P17" s="1"/>
      <c r="Q17" s="185">
        <v>20221002</v>
      </c>
      <c r="R17" s="196">
        <v>44836</v>
      </c>
      <c r="S17" s="197">
        <f>IF(A17="FT",IF(R17&gt;$S$1,0,(DATEDIF(R17,$S$1,"M"))),0)</f>
        <v>0</v>
      </c>
      <c r="T17" s="66">
        <f>ROUNDDOWN(IF(A17="FT",DATEDIF(R17,$T$1,"y"),0),0)</f>
        <v>0</v>
      </c>
      <c r="U17" s="1"/>
      <c r="V17" s="70">
        <v>0</v>
      </c>
      <c r="W17" s="74"/>
      <c r="X17" s="70"/>
      <c r="Y17" s="74"/>
      <c r="Z17" s="1">
        <v>8810</v>
      </c>
      <c r="AA17" s="112">
        <f>VLOOKUP(Z17,'WRK COMP'!$A$1:$E$17,5,FALSE)</f>
        <v>1.0169999999999999E-3</v>
      </c>
      <c r="AB17" s="76" t="s">
        <v>13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10" t="s">
        <v>49</v>
      </c>
      <c r="AK17" s="10" t="s">
        <v>49</v>
      </c>
      <c r="AL17" s="10" t="s">
        <v>49</v>
      </c>
      <c r="AM17" s="78">
        <f>IF(F17&gt;0.79,IF(ROUNDUP(IF(B17="FS",(V17*HRS!$B$9),(V17*HRS!$L$2))*2,-3)&gt;150000,150000,(ROUNDUP(IF(B17="FS",(V17*HRS!$B$9),(V17*HRS!$L$2))*2,-3))),0)</f>
        <v>0</v>
      </c>
      <c r="AN17" s="188">
        <f>SUM(AO17:BB17)</f>
        <v>0</v>
      </c>
      <c r="AO17" s="77">
        <f>IF(L17="N",IF(B17="FS",ROUNDUP($V17*HRS!$B$9*'Position Control'!F17,0),ROUNDUP('Position Control'!$V17*HRS!$L$2*'Position Control'!F17,0)),IF('Position Control'!B17="FS",ROUNDUP(('Position Control'!V17*HRS!$B$9*'Position Control'!W17*'Position Control'!F17)+('Position Control'!X17*HRS!$B$9*'Position Control'!Y17*'Position Control'!F17),0),ROUNDUP(('Position Control'!V17*HRS!$L$2*'Position Control'!W17*'Position Control'!F17)+('Position Control'!X17*HRS!$L$2*'Position Control'!Y17*'Position Control'!F17),0)))*'Position Control'!H17</f>
        <v>0</v>
      </c>
      <c r="AP17" s="77">
        <f>ROUNDUP(52*AC17,0)*H17</f>
        <v>0</v>
      </c>
      <c r="AQ17" s="77">
        <f>IF(B17="FS",ROUNDUP(24*AD17,0),IF(B17="POL",ROUNDUP(26*AD17,0),ROUNDUP(52*AD17,0)))*$H17</f>
        <v>0</v>
      </c>
      <c r="AR17" s="77">
        <f>IF(B17="FS",ROUNDUP(AG17*24,0),ROUNDUP(52*AG17,0))*H17</f>
        <v>0</v>
      </c>
      <c r="AS17" s="77">
        <v>0</v>
      </c>
      <c r="AT17" s="79">
        <f>ROUNDUP(26*AF17,0)*H17</f>
        <v>0</v>
      </c>
      <c r="AU17" s="77">
        <f>IF(B17="FS",ROUNDUP(24*AH17,0),IF(B17="POL",ROUNDUP(26*AH17,0),ROUNDUP(48*AH17,0)))*$H17</f>
        <v>0</v>
      </c>
      <c r="AV17" s="77">
        <v>0</v>
      </c>
      <c r="AW17" s="77">
        <f>IF(B17="FS",ROUNDUP(24*AE17,0),IF(B17="POL",ROUNDUP(26*AE17,0),ROUNDUP(52*AE17,0)))*$H17</f>
        <v>0</v>
      </c>
      <c r="AX17" s="77">
        <f>IF(AND(Q17&lt;20220401,A17&lt;&gt;"SP"),($AX$3*(AO17+BE17)),0)</f>
        <v>0</v>
      </c>
      <c r="AY17" s="77">
        <f>IF(AND($L17="N",$Q17&lt;20220401,$A17&lt;&gt;"SP",$AO17&lt;100000),($AY$3*($AO17+$BE17)),0)</f>
        <v>0</v>
      </c>
      <c r="AZ17" s="77">
        <f>IF(AND($L17="N",$Q17&lt;20220401,$A17&lt;&gt;"SP",$AO17&gt;100000),($AZ$3*($AO17+$BE17)),0)</f>
        <v>0</v>
      </c>
      <c r="BA17" s="77">
        <f>IF(AND($L17="N",$Q17&lt;20220401,$A17&lt;&gt;"SP"),($BA$3*($AO17+$BE17)),0)</f>
        <v>0</v>
      </c>
      <c r="BB17" s="77">
        <f>IF(AND($L17="Y",$Q17&lt;20220401,$A17&lt;&gt;"SP"),($BB$3*($AO17+$BE17)),0)</f>
        <v>0</v>
      </c>
      <c r="BC17" s="77">
        <f t="shared" si="1"/>
        <v>0</v>
      </c>
      <c r="BD17" s="77">
        <f>IF($S17&gt;=12,IF(($S17*5)&gt;1200,1200,$S17*5),0)*$H17</f>
        <v>0</v>
      </c>
      <c r="BE17" s="77">
        <f>'DIVISION BUDGETS'!D8</f>
        <v>1800</v>
      </c>
      <c r="BF17" s="77">
        <f>$AM17*$BF$3*12*$H17</f>
        <v>0</v>
      </c>
      <c r="BG17" s="77">
        <f>VLOOKUP($AJ17,BENE!$I$2:$N$9,6,FALSE)*'Position Control'!$H17</f>
        <v>0</v>
      </c>
      <c r="BH17" s="77">
        <f>VLOOKUP($AK17,BENE!$A$2:$F$19,6,FALSE)*'Position Control'!$H17</f>
        <v>0</v>
      </c>
      <c r="BI17" s="77">
        <f>VLOOKUP($AK17,BENE!$A$2:$G$19,7,FALSE)*'Position Control'!$H17</f>
        <v>0</v>
      </c>
      <c r="BJ17" s="77">
        <f>VLOOKUP($AL17,BENE!$P$2:$S$6,4,FALSE)*'Position Control'!$H17</f>
        <v>0</v>
      </c>
      <c r="BK17" s="77">
        <f>IF($F17&gt;HRS!$H$2,ROUNDUP(((($AN17+$BE17)*$BK$3)/12*9)+(($AN17+$BE17)*HRS!$B$10/12*3),0),0)*$H17</f>
        <v>304</v>
      </c>
      <c r="BL17" s="80">
        <f>ROUNDUP($AN17*$AA17,0)*$H17</f>
        <v>0</v>
      </c>
      <c r="BM17" s="77">
        <f>ROUNDUP(IF($AN17&gt;9000,$BM$3*9000,$BM$3*$AN17),0)*$H17</f>
        <v>0</v>
      </c>
      <c r="BN17" s="77">
        <f>IF($AB17="Y",ROUNDUP($AN17*$BN$3,0),0)*$H17</f>
        <v>0</v>
      </c>
      <c r="BO17" s="77">
        <f>IF($A17&lt;&gt;"SP",ROUND($BO$3*$AN17,0)*$H17,0)</f>
        <v>0</v>
      </c>
      <c r="BP17" s="77">
        <f>IF($T17&gt;24,2000,IF($T17&gt;19,1750,IF($T17&gt;14,1500,IF($T17&gt;9.9999999999999,1000,0))))*$H17</f>
        <v>0</v>
      </c>
      <c r="BQ17" s="77">
        <f>'DIVISION BUDGETS'!G8</f>
        <v>390</v>
      </c>
      <c r="BR17" s="80">
        <f>SUM(AO17:AW17)+SUM(BC17:BQ17)</f>
        <v>2494</v>
      </c>
    </row>
    <row r="18" spans="1:70" s="171" customFormat="1" x14ac:dyDescent="0.35">
      <c r="A18" s="161"/>
      <c r="B18" s="161"/>
      <c r="C18" s="161"/>
      <c r="D18" s="161"/>
      <c r="E18" s="161"/>
      <c r="F18" s="162"/>
      <c r="G18" s="163">
        <f>SUBTOTAL(9,G13:G17)</f>
        <v>4</v>
      </c>
      <c r="H18" s="163"/>
      <c r="I18" s="161" t="s">
        <v>551</v>
      </c>
      <c r="J18" s="161"/>
      <c r="K18" s="161"/>
      <c r="L18" s="164"/>
      <c r="M18" s="161"/>
      <c r="N18" s="161"/>
      <c r="O18" s="161"/>
      <c r="P18" s="161"/>
      <c r="Q18" s="186"/>
      <c r="R18" s="200"/>
      <c r="S18" s="208"/>
      <c r="T18" s="163"/>
      <c r="U18" s="161"/>
      <c r="V18" s="165"/>
      <c r="W18" s="166"/>
      <c r="X18" s="165"/>
      <c r="Y18" s="166"/>
      <c r="Z18" s="161"/>
      <c r="AA18" s="167"/>
      <c r="AB18" s="164"/>
      <c r="AC18" s="168"/>
      <c r="AD18" s="168"/>
      <c r="AE18" s="168"/>
      <c r="AF18" s="168"/>
      <c r="AG18" s="168"/>
      <c r="AH18" s="168"/>
      <c r="AI18" s="168"/>
      <c r="AJ18" s="161"/>
      <c r="AK18" s="161"/>
      <c r="AL18" s="161"/>
      <c r="AM18" s="169"/>
      <c r="AN18" s="189">
        <f>SUBTOTAL(9,AN13:AN17)</f>
        <v>340507</v>
      </c>
      <c r="AO18" s="170">
        <f>SUBTOTAL(9,AO13:AO17)</f>
        <v>336006</v>
      </c>
      <c r="AP18" s="170">
        <f t="shared" ref="AP18:BR18" si="5">SUBTOTAL(9,AP13:AP17)</f>
        <v>0</v>
      </c>
      <c r="AQ18" s="170">
        <f t="shared" si="5"/>
        <v>3901</v>
      </c>
      <c r="AR18" s="170">
        <f t="shared" si="5"/>
        <v>0</v>
      </c>
      <c r="AS18" s="170">
        <f t="shared" si="5"/>
        <v>0</v>
      </c>
      <c r="AT18" s="170">
        <f t="shared" si="5"/>
        <v>0</v>
      </c>
      <c r="AU18" s="170">
        <f t="shared" si="5"/>
        <v>600</v>
      </c>
      <c r="AV18" s="170">
        <f t="shared" si="5"/>
        <v>0</v>
      </c>
      <c r="AW18" s="170">
        <f t="shared" si="5"/>
        <v>0</v>
      </c>
      <c r="AX18" s="170">
        <f t="shared" si="5"/>
        <v>0</v>
      </c>
      <c r="AY18" s="170">
        <f t="shared" si="5"/>
        <v>0</v>
      </c>
      <c r="AZ18" s="170">
        <f t="shared" si="5"/>
        <v>0</v>
      </c>
      <c r="BA18" s="170">
        <f t="shared" si="5"/>
        <v>0</v>
      </c>
      <c r="BB18" s="170">
        <f t="shared" si="5"/>
        <v>0</v>
      </c>
      <c r="BC18" s="170">
        <f t="shared" si="5"/>
        <v>0</v>
      </c>
      <c r="BD18" s="170">
        <f t="shared" si="5"/>
        <v>1320</v>
      </c>
      <c r="BE18" s="170">
        <f t="shared" si="5"/>
        <v>1800</v>
      </c>
      <c r="BF18" s="170">
        <f t="shared" si="5"/>
        <v>650.4</v>
      </c>
      <c r="BG18" s="170">
        <f t="shared" si="5"/>
        <v>1192</v>
      </c>
      <c r="BH18" s="170">
        <f t="shared" si="5"/>
        <v>28755</v>
      </c>
      <c r="BI18" s="170">
        <f t="shared" si="5"/>
        <v>4500</v>
      </c>
      <c r="BJ18" s="170">
        <f t="shared" si="5"/>
        <v>1032</v>
      </c>
      <c r="BK18" s="170">
        <f t="shared" si="5"/>
        <v>57715</v>
      </c>
      <c r="BL18" s="170">
        <f t="shared" si="5"/>
        <v>349</v>
      </c>
      <c r="BM18" s="170">
        <f t="shared" si="5"/>
        <v>576</v>
      </c>
      <c r="BN18" s="170">
        <f t="shared" si="5"/>
        <v>4939</v>
      </c>
      <c r="BO18" s="170">
        <f t="shared" si="5"/>
        <v>612</v>
      </c>
      <c r="BP18" s="170">
        <f t="shared" si="5"/>
        <v>0</v>
      </c>
      <c r="BQ18" s="170">
        <f t="shared" si="5"/>
        <v>390</v>
      </c>
      <c r="BR18" s="170">
        <f t="shared" si="5"/>
        <v>444337.4</v>
      </c>
    </row>
    <row r="19" spans="1:70" outlineLevel="1" x14ac:dyDescent="0.35">
      <c r="A19" s="1" t="s">
        <v>6</v>
      </c>
      <c r="B19" s="1" t="s">
        <v>7</v>
      </c>
      <c r="C19" s="1" t="s">
        <v>8</v>
      </c>
      <c r="D19" s="1" t="s">
        <v>27</v>
      </c>
      <c r="E19" s="1" t="s">
        <v>38</v>
      </c>
      <c r="F19" s="2">
        <v>1</v>
      </c>
      <c r="G19" s="66">
        <v>1</v>
      </c>
      <c r="H19" s="66">
        <v>1</v>
      </c>
      <c r="I19" s="1" t="s">
        <v>611</v>
      </c>
      <c r="J19" s="1" t="s">
        <v>612</v>
      </c>
      <c r="K19" s="1" t="s">
        <v>39</v>
      </c>
      <c r="L19" s="76" t="str">
        <f>IF(M19="","N",STEP!$J$22)</f>
        <v>N</v>
      </c>
      <c r="M19" s="1" t="s">
        <v>11</v>
      </c>
      <c r="N19" s="1" t="s">
        <v>11</v>
      </c>
      <c r="O19" s="1" t="s">
        <v>11</v>
      </c>
      <c r="P19" s="1"/>
      <c r="Q19" s="185">
        <v>20070320</v>
      </c>
      <c r="R19" s="196">
        <v>39161</v>
      </c>
      <c r="S19" s="197">
        <f t="shared" ref="S19:S25" si="6">IF(A19="FT",IF(R19&gt;$S$1,0,(DATEDIF(R19,$S$1,"M"))),0)</f>
        <v>186</v>
      </c>
      <c r="T19" s="66">
        <f t="shared" ref="T19:T25" si="7">ROUNDDOWN(IF(A19="FT",DATEDIF(R19,$T$1,"y"),0),0)</f>
        <v>16</v>
      </c>
      <c r="U19" s="1" t="s">
        <v>12</v>
      </c>
      <c r="V19" s="70">
        <v>36.307200000000002</v>
      </c>
      <c r="W19" s="74"/>
      <c r="X19" s="70"/>
      <c r="Y19" s="74"/>
      <c r="Z19" s="1">
        <v>8810</v>
      </c>
      <c r="AA19" s="112">
        <f>VLOOKUP(Z19,'WRK COMP'!$A$1:$E$17,5,FALSE)</f>
        <v>1.0169999999999999E-3</v>
      </c>
      <c r="AB19" s="76" t="s">
        <v>13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1" t="s">
        <v>25</v>
      </c>
      <c r="AK19" s="1" t="s">
        <v>35</v>
      </c>
      <c r="AL19" s="1" t="s">
        <v>36</v>
      </c>
      <c r="AM19" s="78">
        <f>IF(F19&gt;0.79,IF(ROUNDUP(IF(B19="FS",(V19*HRS!$B$9),(V19*HRS!$L$2))*2,-3)&gt;150000,150000,(ROUNDUP(IF(B19="FS",(V19*HRS!$B$9),(V19*HRS!$L$2))*2,-3))),0)</f>
        <v>150000</v>
      </c>
      <c r="AN19" s="188">
        <f t="shared" ref="AN19:AN25" si="8">SUM(AO19:BB19)</f>
        <v>75519</v>
      </c>
      <c r="AO19" s="77">
        <f>IF(L19="N",IF(B19="FS",ROUNDUP($V19*HRS!$B$9*'Position Control'!F19,0),ROUNDUP('Position Control'!$V19*HRS!$L$2*'Position Control'!F19,0)),IF('Position Control'!B19="FS",ROUNDUP(('Position Control'!V19*HRS!$B$9*'Position Control'!W19*'Position Control'!F19)+('Position Control'!X19*HRS!$B$9*'Position Control'!Y19*'Position Control'!F19),0),ROUNDUP(('Position Control'!V19*HRS!$L$2*'Position Control'!W19*'Position Control'!F19)+('Position Control'!X19*HRS!$L$2*'Position Control'!Y19*'Position Control'!F19),0)))*'Position Control'!H19</f>
        <v>75519</v>
      </c>
      <c r="AP19" s="77">
        <f t="shared" ref="AP19:AP25" si="9">ROUNDUP(52*AC19,0)*H19</f>
        <v>0</v>
      </c>
      <c r="AQ19" s="77">
        <f t="shared" ref="AQ19:AQ25" si="10">IF(B19="FS",ROUNDUP(24*AD19,0),IF(B19="POL",ROUNDUP(26*AD19,0),ROUNDUP(52*AD19,0)))*$H19</f>
        <v>0</v>
      </c>
      <c r="AR19" s="77">
        <f t="shared" ref="AR19:AR25" si="11">IF(B19="FS",ROUNDUP(AG19*24,0),ROUNDUP(52*AG19,0))*H19</f>
        <v>0</v>
      </c>
      <c r="AS19" s="77">
        <v>0</v>
      </c>
      <c r="AT19" s="79">
        <f t="shared" ref="AT19:AT25" si="12">ROUNDUP(26*AF19,0)*H19</f>
        <v>0</v>
      </c>
      <c r="AU19" s="77">
        <f t="shared" ref="AU19:AU25" si="13">IF(B19="FS",ROUNDUP(24*AH19,0),IF(B19="POL",ROUNDUP(26*AH19,0),ROUNDUP(48*AH19,0)))*$H19</f>
        <v>0</v>
      </c>
      <c r="AV19" s="77">
        <v>0</v>
      </c>
      <c r="AW19" s="77">
        <f t="shared" ref="AW19:AW25" si="14">IF(B19="FS",ROUNDUP(24*AE19,0),IF(B19="POL",ROUNDUP(26*AE19,0),ROUNDUP(52*AE19,0)))*$H19</f>
        <v>0</v>
      </c>
      <c r="AX19" s="77">
        <f t="shared" ref="AX19:AX25" si="15">IF(AND(Q19&lt;20220401,A19&lt;&gt;"SP"),($AX$3*(AO19+BE19)),0)</f>
        <v>0</v>
      </c>
      <c r="AY19" s="77">
        <f t="shared" ref="AY19:AY25" si="16">IF(AND($L19="N",$Q19&lt;20220401,$A19&lt;&gt;"SP",$AO19&lt;100000),($AY$3*($AO19+$BE19)),0)</f>
        <v>0</v>
      </c>
      <c r="AZ19" s="77">
        <f t="shared" ref="AZ19:AZ25" si="17">IF(AND($L19="N",$Q19&lt;20220401,$A19&lt;&gt;"SP",$AO19&gt;100000),($AZ$3*($AO19+$BE19)),0)</f>
        <v>0</v>
      </c>
      <c r="BA19" s="77">
        <f t="shared" ref="BA19:BA25" si="18">IF(AND($L19="N",$Q19&lt;20220401,$A19&lt;&gt;"SP"),($BA$3*($AO19+$BE19)),0)</f>
        <v>0</v>
      </c>
      <c r="BB19" s="77">
        <f t="shared" ref="BB19:BB25" si="19">IF(AND($L19="Y",$Q19&lt;20220401,$A19&lt;&gt;"SP"),($BB$3*($AO19+$BE19)),0)</f>
        <v>0</v>
      </c>
      <c r="BC19" s="77">
        <f t="shared" si="1"/>
        <v>0</v>
      </c>
      <c r="BD19" s="77">
        <f t="shared" ref="BD19:BD25" si="20">IF($S19&gt;=12,IF(($S19*5)&gt;1200,1200,$S19*5),0)*$H19</f>
        <v>930</v>
      </c>
      <c r="BE19" s="77">
        <v>0</v>
      </c>
      <c r="BF19" s="77">
        <f t="shared" ref="BF19:BF25" si="21">$AM19*$BF$3*12*$H19</f>
        <v>180</v>
      </c>
      <c r="BG19" s="77">
        <f>VLOOKUP($AJ19,BENE!$I$2:$N$9,6,FALSE)*'Position Control'!$H19</f>
        <v>414</v>
      </c>
      <c r="BH19" s="77">
        <f>VLOOKUP($AK19,BENE!$A$2:$F$19,6,FALSE)*'Position Control'!$H19</f>
        <v>10067</v>
      </c>
      <c r="BI19" s="77">
        <f>VLOOKUP($AK19,BENE!$A$2:$G$19,7,FALSE)*'Position Control'!$H19</f>
        <v>1500</v>
      </c>
      <c r="BJ19" s="77">
        <f>VLOOKUP($AL19,BENE!$P$2:$S$6,4,FALSE)*'Position Control'!$H19</f>
        <v>312</v>
      </c>
      <c r="BK19" s="77">
        <f>IF($F19&gt;HRS!$H$2,ROUNDUP(((($AN19+$BE19)*$BK$3)/12*9)+(($AN19+$BE19)*HRS!$B$10/12*3),0),0)*$H19</f>
        <v>12733</v>
      </c>
      <c r="BL19" s="80">
        <f t="shared" ref="BL19:BL25" si="22">ROUNDUP($AN19*$AA19,0)*$H19</f>
        <v>77</v>
      </c>
      <c r="BM19" s="77">
        <f t="shared" ref="BM19:BM25" si="23">ROUNDUP(IF($AN19&gt;9000,$BM$3*9000,$BM$3*$AN19),0)*$H19</f>
        <v>144</v>
      </c>
      <c r="BN19" s="77">
        <f t="shared" ref="BN19:BN25" si="24">IF($AB19="Y",ROUNDUP($AN19*$BN$3,0),0)*$H19</f>
        <v>1096</v>
      </c>
      <c r="BO19" s="77">
        <f t="shared" ref="BO19:BO25" si="25">IF($A19&lt;&gt;"SP",ROUND($BO$3*$AN19,0)*$H19,0)</f>
        <v>136</v>
      </c>
      <c r="BP19" s="77">
        <f t="shared" ref="BP19:BP25" si="26">IF($T19&gt;24,2000,IF($T19&gt;19,1750,IF($T19&gt;14,1500,IF($T19&gt;9.9999999999999,1000,0))))*$H19</f>
        <v>1500</v>
      </c>
      <c r="BQ19" s="77">
        <v>0</v>
      </c>
      <c r="BR19" s="80">
        <f t="shared" ref="BR19:BR25" si="27">SUM(AO19:AW19)+SUM(BC19:BQ19)</f>
        <v>104608</v>
      </c>
    </row>
    <row r="20" spans="1:70" outlineLevel="1" x14ac:dyDescent="0.35">
      <c r="A20" s="1" t="s">
        <v>6</v>
      </c>
      <c r="B20" s="1" t="s">
        <v>7</v>
      </c>
      <c r="C20" s="1" t="s">
        <v>8</v>
      </c>
      <c r="D20" s="1" t="s">
        <v>27</v>
      </c>
      <c r="E20" s="1" t="s">
        <v>38</v>
      </c>
      <c r="F20" s="2">
        <v>1</v>
      </c>
      <c r="G20" s="66">
        <v>1</v>
      </c>
      <c r="H20" s="66">
        <v>1</v>
      </c>
      <c r="I20" s="1" t="s">
        <v>611</v>
      </c>
      <c r="J20" s="1" t="s">
        <v>612</v>
      </c>
      <c r="K20" s="1" t="s">
        <v>40</v>
      </c>
      <c r="L20" s="76" t="str">
        <f>IF(M20="","N",STEP!$J$22)</f>
        <v>N</v>
      </c>
      <c r="M20" s="1" t="s">
        <v>11</v>
      </c>
      <c r="N20" s="1" t="s">
        <v>11</v>
      </c>
      <c r="O20" s="1" t="s">
        <v>11</v>
      </c>
      <c r="P20" s="1"/>
      <c r="Q20" s="185">
        <v>20191023</v>
      </c>
      <c r="R20" s="196">
        <v>43761</v>
      </c>
      <c r="S20" s="197">
        <f t="shared" si="6"/>
        <v>35</v>
      </c>
      <c r="T20" s="66">
        <f t="shared" si="7"/>
        <v>3</v>
      </c>
      <c r="U20" s="1" t="s">
        <v>12</v>
      </c>
      <c r="V20" s="192">
        <v>26.303899999999999</v>
      </c>
      <c r="W20" s="74"/>
      <c r="X20" s="70"/>
      <c r="Y20" s="74"/>
      <c r="Z20" s="1">
        <v>9015</v>
      </c>
      <c r="AA20" s="112">
        <f>VLOOKUP(Z20,'WRK COMP'!$A$1:$E$17,5,FALSE)</f>
        <v>1.3690000000000001E-2</v>
      </c>
      <c r="AB20" s="76" t="s">
        <v>13</v>
      </c>
      <c r="AC20" s="68">
        <v>0</v>
      </c>
      <c r="AD20" s="68">
        <v>23.08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1" t="s">
        <v>41</v>
      </c>
      <c r="AK20" s="1" t="s">
        <v>15</v>
      </c>
      <c r="AL20" s="1" t="s">
        <v>16</v>
      </c>
      <c r="AM20" s="78">
        <f>IF(F20&gt;0.79,IF(ROUNDUP(IF(B20="FS",(V20*HRS!$B$9),(V20*HRS!$L$2))*2,-3)&gt;150000,150000,(ROUNDUP(IF(B20="FS",(V20*HRS!$B$9),(V20*HRS!$L$2))*2,-3))),0)</f>
        <v>110000</v>
      </c>
      <c r="AN20" s="188">
        <f t="shared" si="8"/>
        <v>55914</v>
      </c>
      <c r="AO20" s="77">
        <f>IF(L20="N",IF(B20="FS",ROUNDUP($V20*HRS!$B$9*'Position Control'!F20,0),ROUNDUP('Position Control'!$V20*HRS!$L$2*'Position Control'!F20,0)),IF('Position Control'!B20="FS",ROUNDUP(('Position Control'!V20*HRS!$B$9*'Position Control'!W20*'Position Control'!F20)+('Position Control'!X20*HRS!$B$9*'Position Control'!Y20*'Position Control'!F20),0),ROUNDUP(('Position Control'!V20*HRS!$L$2*'Position Control'!W20*'Position Control'!F20)+('Position Control'!X20*HRS!$L$2*'Position Control'!Y20*'Position Control'!F20),0)))*'Position Control'!H20</f>
        <v>54713</v>
      </c>
      <c r="AP20" s="77">
        <f t="shared" si="9"/>
        <v>0</v>
      </c>
      <c r="AQ20" s="77">
        <f t="shared" si="10"/>
        <v>1201</v>
      </c>
      <c r="AR20" s="77">
        <f t="shared" si="11"/>
        <v>0</v>
      </c>
      <c r="AS20" s="77">
        <v>0</v>
      </c>
      <c r="AT20" s="79">
        <f t="shared" si="12"/>
        <v>0</v>
      </c>
      <c r="AU20" s="77">
        <f t="shared" si="13"/>
        <v>0</v>
      </c>
      <c r="AV20" s="77">
        <v>0</v>
      </c>
      <c r="AW20" s="77">
        <f t="shared" si="14"/>
        <v>0</v>
      </c>
      <c r="AX20" s="77">
        <f t="shared" si="15"/>
        <v>0</v>
      </c>
      <c r="AY20" s="77">
        <f t="shared" si="16"/>
        <v>0</v>
      </c>
      <c r="AZ20" s="77">
        <f t="shared" si="17"/>
        <v>0</v>
      </c>
      <c r="BA20" s="77">
        <f t="shared" si="18"/>
        <v>0</v>
      </c>
      <c r="BB20" s="77">
        <f t="shared" si="19"/>
        <v>0</v>
      </c>
      <c r="BC20" s="77">
        <f t="shared" si="1"/>
        <v>0</v>
      </c>
      <c r="BD20" s="77">
        <f t="shared" si="20"/>
        <v>175</v>
      </c>
      <c r="BE20" s="77">
        <v>0</v>
      </c>
      <c r="BF20" s="77">
        <f t="shared" si="21"/>
        <v>132</v>
      </c>
      <c r="BG20" s="77">
        <f>VLOOKUP($AJ20,BENE!$I$2:$N$9,6,FALSE)*'Position Control'!$H20</f>
        <v>214</v>
      </c>
      <c r="BH20" s="77">
        <f>VLOOKUP($AK20,BENE!$A$2:$F$19,6,FALSE)*'Position Control'!$H20</f>
        <v>6142</v>
      </c>
      <c r="BI20" s="77">
        <f>VLOOKUP($AK20,BENE!$A$2:$G$19,7,FALSE)*'Position Control'!$H20</f>
        <v>1000</v>
      </c>
      <c r="BJ20" s="77">
        <f>VLOOKUP($AL20,BENE!$P$2:$S$6,4,FALSE)*'Position Control'!$H20</f>
        <v>240</v>
      </c>
      <c r="BK20" s="77">
        <f>IF($F20&gt;HRS!$H$2,ROUNDUP(((($AN20+$BE20)*$BK$3)/12*9)+(($AN20+$BE20)*HRS!$B$10/12*3),0),0)*$H20</f>
        <v>9428</v>
      </c>
      <c r="BL20" s="80">
        <f t="shared" si="22"/>
        <v>766</v>
      </c>
      <c r="BM20" s="77">
        <f t="shared" si="23"/>
        <v>144</v>
      </c>
      <c r="BN20" s="77">
        <f t="shared" si="24"/>
        <v>811</v>
      </c>
      <c r="BO20" s="77">
        <f t="shared" si="25"/>
        <v>101</v>
      </c>
      <c r="BP20" s="77">
        <f t="shared" si="26"/>
        <v>0</v>
      </c>
      <c r="BQ20" s="77">
        <v>0</v>
      </c>
      <c r="BR20" s="80">
        <f t="shared" si="27"/>
        <v>75067</v>
      </c>
    </row>
    <row r="21" spans="1:70" outlineLevel="1" x14ac:dyDescent="0.35">
      <c r="A21" s="1" t="s">
        <v>6</v>
      </c>
      <c r="B21" s="1" t="s">
        <v>7</v>
      </c>
      <c r="C21" s="1" t="s">
        <v>8</v>
      </c>
      <c r="D21" s="1" t="s">
        <v>27</v>
      </c>
      <c r="E21" s="1" t="s">
        <v>38</v>
      </c>
      <c r="F21" s="2">
        <v>1</v>
      </c>
      <c r="G21" s="66">
        <v>1</v>
      </c>
      <c r="H21" s="66">
        <v>1</v>
      </c>
      <c r="I21" s="1" t="s">
        <v>611</v>
      </c>
      <c r="J21" s="1" t="s">
        <v>612</v>
      </c>
      <c r="K21" s="10" t="s">
        <v>588</v>
      </c>
      <c r="L21" s="76" t="str">
        <f>IF(M21="","N",STEP!$J$22)</f>
        <v>N</v>
      </c>
      <c r="M21" s="1"/>
      <c r="N21" s="1"/>
      <c r="O21" s="1"/>
      <c r="P21" s="1"/>
      <c r="Q21" s="185">
        <v>20220509</v>
      </c>
      <c r="R21" s="196">
        <v>44690</v>
      </c>
      <c r="S21" s="197">
        <f t="shared" si="6"/>
        <v>4</v>
      </c>
      <c r="T21" s="66">
        <f t="shared" si="7"/>
        <v>1</v>
      </c>
      <c r="U21" s="1"/>
      <c r="V21" s="70">
        <v>18.6936</v>
      </c>
      <c r="W21" s="74"/>
      <c r="X21" s="70"/>
      <c r="Y21" s="74"/>
      <c r="Z21" s="1">
        <v>9015</v>
      </c>
      <c r="AA21" s="112">
        <f>VLOOKUP(Z21,'WRK COMP'!$A$1:$E$17,5,FALSE)</f>
        <v>1.3690000000000001E-2</v>
      </c>
      <c r="AB21" s="76" t="s">
        <v>13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9" t="s">
        <v>49</v>
      </c>
      <c r="AK21" s="10" t="s">
        <v>43</v>
      </c>
      <c r="AL21" s="10" t="s">
        <v>49</v>
      </c>
      <c r="AM21" s="78">
        <f>IF(F21&gt;0.79,IF(ROUNDUP(IF(B21="FS",(V21*HRS!$B$9),(V21*HRS!$L$2))*2,-3)&gt;150000,150000,(ROUNDUP(IF(B21="FS",(V21*HRS!$B$9),(V21*HRS!$L$2))*2,-3))),0)</f>
        <v>78000</v>
      </c>
      <c r="AN21" s="188">
        <f t="shared" si="8"/>
        <v>38883</v>
      </c>
      <c r="AO21" s="77">
        <f>IF(L21="N",IF(B21="FS",ROUNDUP($V21*HRS!$B$9*'Position Control'!F21,0),ROUNDUP('Position Control'!$V21*HRS!$L$2*'Position Control'!F21,0)),IF('Position Control'!B21="FS",ROUNDUP(('Position Control'!V21*HRS!$B$9*'Position Control'!W21*'Position Control'!F21)+('Position Control'!X21*HRS!$B$9*'Position Control'!Y21*'Position Control'!F21),0),ROUNDUP(('Position Control'!V21*HRS!$L$2*'Position Control'!W21*'Position Control'!F21)+('Position Control'!X21*HRS!$L$2*'Position Control'!Y21*'Position Control'!F21),0)))*'Position Control'!H21</f>
        <v>38883</v>
      </c>
      <c r="AP21" s="77">
        <f t="shared" si="9"/>
        <v>0</v>
      </c>
      <c r="AQ21" s="77">
        <f t="shared" si="10"/>
        <v>0</v>
      </c>
      <c r="AR21" s="77">
        <f t="shared" si="11"/>
        <v>0</v>
      </c>
      <c r="AS21" s="77">
        <v>0</v>
      </c>
      <c r="AT21" s="79">
        <f t="shared" si="12"/>
        <v>0</v>
      </c>
      <c r="AU21" s="77">
        <f t="shared" si="13"/>
        <v>0</v>
      </c>
      <c r="AV21" s="77">
        <v>0</v>
      </c>
      <c r="AW21" s="77">
        <f t="shared" si="14"/>
        <v>0</v>
      </c>
      <c r="AX21" s="77">
        <f t="shared" si="15"/>
        <v>0</v>
      </c>
      <c r="AY21" s="77">
        <f t="shared" si="16"/>
        <v>0</v>
      </c>
      <c r="AZ21" s="77">
        <f t="shared" si="17"/>
        <v>0</v>
      </c>
      <c r="BA21" s="77">
        <f t="shared" si="18"/>
        <v>0</v>
      </c>
      <c r="BB21" s="77">
        <f t="shared" si="19"/>
        <v>0</v>
      </c>
      <c r="BC21" s="77">
        <f t="shared" si="1"/>
        <v>0</v>
      </c>
      <c r="BD21" s="77">
        <f t="shared" si="20"/>
        <v>0</v>
      </c>
      <c r="BE21" s="77">
        <v>0</v>
      </c>
      <c r="BF21" s="77">
        <f t="shared" si="21"/>
        <v>93.600000000000009</v>
      </c>
      <c r="BG21" s="77">
        <f>VLOOKUP($AJ21,BENE!$I$2:$N$9,6,FALSE)*'Position Control'!$H21</f>
        <v>0</v>
      </c>
      <c r="BH21" s="77">
        <f>VLOOKUP($AK21,BENE!$A$2:$F$19,6,FALSE)*'Position Control'!$H21</f>
        <v>6870</v>
      </c>
      <c r="BI21" s="77">
        <f>VLOOKUP($AK21,BENE!$A$2:$G$19,7,FALSE)*'Position Control'!$H21</f>
        <v>0</v>
      </c>
      <c r="BJ21" s="77">
        <f>VLOOKUP($AL21,BENE!$P$2:$S$6,4,FALSE)*'Position Control'!$H21</f>
        <v>0</v>
      </c>
      <c r="BK21" s="77">
        <f>IF($F21&gt;HRS!$H$2,ROUNDUP(((($AN21+$BE21)*$BK$3)/12*9)+(($AN21+$BE21)*HRS!$B$10/12*3),0),0)*$H21</f>
        <v>6556</v>
      </c>
      <c r="BL21" s="80">
        <f t="shared" si="22"/>
        <v>533</v>
      </c>
      <c r="BM21" s="77">
        <f t="shared" si="23"/>
        <v>144</v>
      </c>
      <c r="BN21" s="77">
        <f t="shared" si="24"/>
        <v>564</v>
      </c>
      <c r="BO21" s="77">
        <f t="shared" si="25"/>
        <v>70</v>
      </c>
      <c r="BP21" s="77">
        <f t="shared" si="26"/>
        <v>0</v>
      </c>
      <c r="BQ21" s="77">
        <v>0</v>
      </c>
      <c r="BR21" s="80">
        <f t="shared" si="27"/>
        <v>53713.599999999999</v>
      </c>
    </row>
    <row r="22" spans="1:70" outlineLevel="1" x14ac:dyDescent="0.35">
      <c r="A22" s="1" t="s">
        <v>6</v>
      </c>
      <c r="B22" s="1" t="s">
        <v>7</v>
      </c>
      <c r="C22" s="1" t="s">
        <v>8</v>
      </c>
      <c r="D22" s="1" t="s">
        <v>27</v>
      </c>
      <c r="E22" s="1" t="s">
        <v>38</v>
      </c>
      <c r="F22" s="2">
        <v>1</v>
      </c>
      <c r="G22" s="66">
        <v>1</v>
      </c>
      <c r="H22" s="66">
        <v>1</v>
      </c>
      <c r="I22" s="1" t="s">
        <v>611</v>
      </c>
      <c r="J22" s="1" t="s">
        <v>612</v>
      </c>
      <c r="K22" s="1" t="s">
        <v>42</v>
      </c>
      <c r="L22" s="76" t="str">
        <f>IF(M22="","N",STEP!$J$22)</f>
        <v>N</v>
      </c>
      <c r="M22" s="1" t="s">
        <v>11</v>
      </c>
      <c r="N22" s="1" t="s">
        <v>11</v>
      </c>
      <c r="O22" s="1" t="s">
        <v>11</v>
      </c>
      <c r="P22" s="1"/>
      <c r="Q22" s="185">
        <v>20191007</v>
      </c>
      <c r="R22" s="196">
        <v>43745</v>
      </c>
      <c r="S22" s="197">
        <f t="shared" si="6"/>
        <v>35</v>
      </c>
      <c r="T22" s="66">
        <f t="shared" si="7"/>
        <v>3</v>
      </c>
      <c r="U22" s="1" t="s">
        <v>12</v>
      </c>
      <c r="V22" s="70">
        <v>15.2332</v>
      </c>
      <c r="W22" s="74"/>
      <c r="X22" s="70"/>
      <c r="Y22" s="74"/>
      <c r="Z22" s="1">
        <v>9015</v>
      </c>
      <c r="AA22" s="112">
        <f>VLOOKUP(Z22,'WRK COMP'!$A$1:$E$17,5,FALSE)</f>
        <v>1.3690000000000001E-2</v>
      </c>
      <c r="AB22" s="76" t="s">
        <v>13</v>
      </c>
      <c r="AC22" s="68">
        <v>0</v>
      </c>
      <c r="AD22" s="68">
        <v>23.07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1" t="s">
        <v>25</v>
      </c>
      <c r="AK22" s="1" t="s">
        <v>15</v>
      </c>
      <c r="AL22" s="1" t="s">
        <v>16</v>
      </c>
      <c r="AM22" s="78">
        <f>IF(F22&gt;0.79,IF(ROUNDUP(IF(B22="FS",(V22*HRS!$B$9),(V22*HRS!$L$2))*2,-3)&gt;150000,150000,(ROUNDUP(IF(B22="FS",(V22*HRS!$B$9),(V22*HRS!$L$2))*2,-3))),0)</f>
        <v>64000</v>
      </c>
      <c r="AN22" s="188">
        <f t="shared" si="8"/>
        <v>32886</v>
      </c>
      <c r="AO22" s="77">
        <f>IF(L22="N",IF(B22="FS",ROUNDUP($V22*HRS!$B$9*'Position Control'!F22,0),ROUNDUP('Position Control'!$V22*HRS!$L$2*'Position Control'!F22,0)),IF('Position Control'!B22="FS",ROUNDUP(('Position Control'!V22*HRS!$B$9*'Position Control'!W22*'Position Control'!F22)+('Position Control'!X22*HRS!$B$9*'Position Control'!Y22*'Position Control'!F22),0),ROUNDUP(('Position Control'!V22*HRS!$L$2*'Position Control'!W22*'Position Control'!F22)+('Position Control'!X22*HRS!$L$2*'Position Control'!Y22*'Position Control'!F22),0)))*'Position Control'!H22</f>
        <v>31686</v>
      </c>
      <c r="AP22" s="77">
        <f t="shared" si="9"/>
        <v>0</v>
      </c>
      <c r="AQ22" s="77">
        <f t="shared" si="10"/>
        <v>1200</v>
      </c>
      <c r="AR22" s="77">
        <f t="shared" si="11"/>
        <v>0</v>
      </c>
      <c r="AS22" s="77">
        <v>0</v>
      </c>
      <c r="AT22" s="79">
        <f t="shared" si="12"/>
        <v>0</v>
      </c>
      <c r="AU22" s="77">
        <f t="shared" si="13"/>
        <v>0</v>
      </c>
      <c r="AV22" s="77">
        <v>0</v>
      </c>
      <c r="AW22" s="77">
        <f t="shared" si="14"/>
        <v>0</v>
      </c>
      <c r="AX22" s="77">
        <f t="shared" si="15"/>
        <v>0</v>
      </c>
      <c r="AY22" s="77">
        <f t="shared" si="16"/>
        <v>0</v>
      </c>
      <c r="AZ22" s="77">
        <f t="shared" si="17"/>
        <v>0</v>
      </c>
      <c r="BA22" s="77">
        <f t="shared" si="18"/>
        <v>0</v>
      </c>
      <c r="BB22" s="77">
        <f t="shared" si="19"/>
        <v>0</v>
      </c>
      <c r="BC22" s="77">
        <f t="shared" si="1"/>
        <v>0</v>
      </c>
      <c r="BD22" s="77">
        <f t="shared" si="20"/>
        <v>175</v>
      </c>
      <c r="BE22" s="77">
        <v>0</v>
      </c>
      <c r="BF22" s="77">
        <f t="shared" si="21"/>
        <v>76.800000000000011</v>
      </c>
      <c r="BG22" s="77">
        <f>VLOOKUP($AJ22,BENE!$I$2:$N$9,6,FALSE)*'Position Control'!$H22</f>
        <v>414</v>
      </c>
      <c r="BH22" s="77">
        <f>VLOOKUP($AK22,BENE!$A$2:$F$19,6,FALSE)*'Position Control'!$H22</f>
        <v>6142</v>
      </c>
      <c r="BI22" s="77">
        <f>VLOOKUP($AK22,BENE!$A$2:$G$19,7,FALSE)*'Position Control'!$H22</f>
        <v>1000</v>
      </c>
      <c r="BJ22" s="77">
        <f>VLOOKUP($AL22,BENE!$P$2:$S$6,4,FALSE)*'Position Control'!$H22</f>
        <v>240</v>
      </c>
      <c r="BK22" s="77">
        <f>IF($F22&gt;HRS!$H$2,ROUNDUP(((($AN22+$BE22)*$BK$3)/12*9)+(($AN22+$BE22)*HRS!$B$10/12*3),0),0)*$H22</f>
        <v>5545</v>
      </c>
      <c r="BL22" s="80">
        <f t="shared" si="22"/>
        <v>451</v>
      </c>
      <c r="BM22" s="77">
        <f t="shared" si="23"/>
        <v>144</v>
      </c>
      <c r="BN22" s="77">
        <f t="shared" si="24"/>
        <v>477</v>
      </c>
      <c r="BO22" s="77">
        <f t="shared" si="25"/>
        <v>59</v>
      </c>
      <c r="BP22" s="77">
        <f t="shared" si="26"/>
        <v>0</v>
      </c>
      <c r="BQ22" s="77">
        <v>0</v>
      </c>
      <c r="BR22" s="80">
        <f t="shared" si="27"/>
        <v>47609.8</v>
      </c>
    </row>
    <row r="23" spans="1:70" outlineLevel="1" x14ac:dyDescent="0.35">
      <c r="A23" s="1" t="s">
        <v>6</v>
      </c>
      <c r="B23" s="1" t="s">
        <v>7</v>
      </c>
      <c r="C23" s="1" t="s">
        <v>8</v>
      </c>
      <c r="D23" s="1" t="s">
        <v>27</v>
      </c>
      <c r="E23" s="1" t="s">
        <v>38</v>
      </c>
      <c r="F23" s="2">
        <v>1</v>
      </c>
      <c r="G23" s="66">
        <v>1</v>
      </c>
      <c r="H23" s="66">
        <v>1</v>
      </c>
      <c r="I23" s="1" t="s">
        <v>611</v>
      </c>
      <c r="J23" s="1" t="s">
        <v>612</v>
      </c>
      <c r="K23" s="1" t="s">
        <v>44</v>
      </c>
      <c r="L23" s="76" t="str">
        <f>IF(M23="","N",STEP!$J$22)</f>
        <v>N</v>
      </c>
      <c r="M23" s="1" t="s">
        <v>11</v>
      </c>
      <c r="N23" s="1" t="s">
        <v>11</v>
      </c>
      <c r="O23" s="1" t="s">
        <v>11</v>
      </c>
      <c r="P23" s="1"/>
      <c r="Q23" s="185">
        <v>20180806</v>
      </c>
      <c r="R23" s="196">
        <v>43318</v>
      </c>
      <c r="S23" s="197">
        <f t="shared" si="6"/>
        <v>49</v>
      </c>
      <c r="T23" s="66">
        <f t="shared" si="7"/>
        <v>5</v>
      </c>
      <c r="U23" s="1" t="s">
        <v>12</v>
      </c>
      <c r="V23" s="70">
        <v>15.539300000000001</v>
      </c>
      <c r="W23" s="74"/>
      <c r="X23" s="70"/>
      <c r="Y23" s="74"/>
      <c r="Z23" s="1">
        <v>9015</v>
      </c>
      <c r="AA23" s="112">
        <f>VLOOKUP(Z23,'WRK COMP'!$A$1:$E$17,5,FALSE)</f>
        <v>1.3690000000000001E-2</v>
      </c>
      <c r="AB23" s="76" t="s">
        <v>13</v>
      </c>
      <c r="AC23" s="68">
        <v>0</v>
      </c>
      <c r="AD23" s="68">
        <v>23.08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1" t="s">
        <v>14</v>
      </c>
      <c r="AK23" s="1" t="s">
        <v>43</v>
      </c>
      <c r="AL23" s="10" t="s">
        <v>49</v>
      </c>
      <c r="AM23" s="78">
        <f>IF(F23&gt;0.79,IF(ROUNDUP(IF(B23="FS",(V23*HRS!$B$9),(V23*HRS!$L$2))*2,-3)&gt;150000,150000,(ROUNDUP(IF(B23="FS",(V23*HRS!$B$9),(V23*HRS!$L$2))*2,-3))),0)</f>
        <v>65000</v>
      </c>
      <c r="AN23" s="188">
        <f t="shared" si="8"/>
        <v>33523</v>
      </c>
      <c r="AO23" s="77">
        <f>IF(L23="N",IF(B23="FS",ROUNDUP($V23*HRS!$B$9*'Position Control'!F23,0),ROUNDUP('Position Control'!$V23*HRS!$L$2*'Position Control'!F23,0)),IF('Position Control'!B23="FS",ROUNDUP(('Position Control'!V23*HRS!$B$9*'Position Control'!W23*'Position Control'!F23)+('Position Control'!X23*HRS!$B$9*'Position Control'!Y23*'Position Control'!F23),0),ROUNDUP(('Position Control'!V23*HRS!$L$2*'Position Control'!W23*'Position Control'!F23)+('Position Control'!X23*HRS!$L$2*'Position Control'!Y23*'Position Control'!F23),0)))*'Position Control'!H23</f>
        <v>32322</v>
      </c>
      <c r="AP23" s="77">
        <f t="shared" si="9"/>
        <v>0</v>
      </c>
      <c r="AQ23" s="77">
        <f t="shared" si="10"/>
        <v>1201</v>
      </c>
      <c r="AR23" s="77">
        <f t="shared" si="11"/>
        <v>0</v>
      </c>
      <c r="AS23" s="77">
        <v>0</v>
      </c>
      <c r="AT23" s="79">
        <f t="shared" si="12"/>
        <v>0</v>
      </c>
      <c r="AU23" s="77">
        <f t="shared" si="13"/>
        <v>0</v>
      </c>
      <c r="AV23" s="77">
        <v>0</v>
      </c>
      <c r="AW23" s="77">
        <f t="shared" si="14"/>
        <v>0</v>
      </c>
      <c r="AX23" s="77">
        <f t="shared" si="15"/>
        <v>0</v>
      </c>
      <c r="AY23" s="77">
        <f t="shared" si="16"/>
        <v>0</v>
      </c>
      <c r="AZ23" s="77">
        <f t="shared" si="17"/>
        <v>0</v>
      </c>
      <c r="BA23" s="77">
        <f t="shared" si="18"/>
        <v>0</v>
      </c>
      <c r="BB23" s="77">
        <f t="shared" si="19"/>
        <v>0</v>
      </c>
      <c r="BC23" s="77">
        <f t="shared" si="1"/>
        <v>0</v>
      </c>
      <c r="BD23" s="77">
        <f t="shared" si="20"/>
        <v>245</v>
      </c>
      <c r="BE23" s="77">
        <v>0</v>
      </c>
      <c r="BF23" s="77">
        <f t="shared" si="21"/>
        <v>78</v>
      </c>
      <c r="BG23" s="77">
        <f>VLOOKUP($AJ23,BENE!$I$2:$N$9,6,FALSE)*'Position Control'!$H23</f>
        <v>389</v>
      </c>
      <c r="BH23" s="77">
        <f>VLOOKUP($AK23,BENE!$A$2:$F$19,6,FALSE)*'Position Control'!$H23</f>
        <v>6870</v>
      </c>
      <c r="BI23" s="77">
        <f>VLOOKUP($AK23,BENE!$A$2:$G$19,7,FALSE)*'Position Control'!$H23</f>
        <v>0</v>
      </c>
      <c r="BJ23" s="77">
        <f>VLOOKUP($AL23,BENE!$P$2:$S$6,4,FALSE)*'Position Control'!$H23</f>
        <v>0</v>
      </c>
      <c r="BK23" s="77">
        <f>IF($F23&gt;HRS!$H$2,ROUNDUP(((($AN23+$BE23)*$BK$3)/12*9)+(($AN23+$BE23)*HRS!$B$10/12*3),0),0)*$H23</f>
        <v>5652</v>
      </c>
      <c r="BL23" s="80">
        <f t="shared" si="22"/>
        <v>459</v>
      </c>
      <c r="BM23" s="77">
        <f t="shared" si="23"/>
        <v>144</v>
      </c>
      <c r="BN23" s="77">
        <f t="shared" si="24"/>
        <v>487</v>
      </c>
      <c r="BO23" s="77">
        <f t="shared" si="25"/>
        <v>60</v>
      </c>
      <c r="BP23" s="77">
        <f t="shared" si="26"/>
        <v>0</v>
      </c>
      <c r="BQ23" s="77">
        <v>0</v>
      </c>
      <c r="BR23" s="80">
        <f t="shared" si="27"/>
        <v>47907</v>
      </c>
    </row>
    <row r="24" spans="1:70" outlineLevel="1" x14ac:dyDescent="0.35">
      <c r="A24" s="1" t="s">
        <v>6</v>
      </c>
      <c r="B24" s="1" t="s">
        <v>7</v>
      </c>
      <c r="C24" s="1" t="s">
        <v>8</v>
      </c>
      <c r="D24" s="1" t="s">
        <v>27</v>
      </c>
      <c r="E24" s="1" t="s">
        <v>38</v>
      </c>
      <c r="F24" s="2">
        <v>1</v>
      </c>
      <c r="G24" s="66">
        <v>1</v>
      </c>
      <c r="H24" s="66">
        <v>1</v>
      </c>
      <c r="I24" s="1" t="s">
        <v>611</v>
      </c>
      <c r="J24" s="1" t="s">
        <v>612</v>
      </c>
      <c r="K24" s="1" t="s">
        <v>45</v>
      </c>
      <c r="L24" s="76" t="str">
        <f>IF(M24="","N",STEP!$J$22)</f>
        <v>N</v>
      </c>
      <c r="M24" s="1" t="s">
        <v>11</v>
      </c>
      <c r="N24" s="1" t="s">
        <v>11</v>
      </c>
      <c r="O24" s="1" t="s">
        <v>11</v>
      </c>
      <c r="P24" s="1"/>
      <c r="Q24" s="185">
        <v>20180227</v>
      </c>
      <c r="R24" s="196">
        <v>43158</v>
      </c>
      <c r="S24" s="197">
        <f t="shared" si="6"/>
        <v>55</v>
      </c>
      <c r="T24" s="66">
        <f t="shared" si="7"/>
        <v>5</v>
      </c>
      <c r="U24" s="1" t="s">
        <v>12</v>
      </c>
      <c r="V24" s="70">
        <v>15.8865</v>
      </c>
      <c r="W24" s="74"/>
      <c r="X24" s="70"/>
      <c r="Y24" s="74"/>
      <c r="Z24" s="1">
        <v>9015</v>
      </c>
      <c r="AA24" s="112">
        <f>VLOOKUP(Z24,'WRK COMP'!$A$1:$E$17,5,FALSE)</f>
        <v>1.3690000000000001E-2</v>
      </c>
      <c r="AB24" s="76" t="s">
        <v>13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1" t="s">
        <v>25</v>
      </c>
      <c r="AK24" s="1" t="s">
        <v>24</v>
      </c>
      <c r="AL24" s="10" t="s">
        <v>49</v>
      </c>
      <c r="AM24" s="78">
        <f>IF(F24&gt;0.79,IF(ROUNDUP(IF(B24="FS",(V24*HRS!$B$9),(V24*HRS!$L$2))*2,-3)&gt;150000,150000,(ROUNDUP(IF(B24="FS",(V24*HRS!$B$9),(V24*HRS!$L$2))*2,-3))),0)</f>
        <v>67000</v>
      </c>
      <c r="AN24" s="188">
        <f t="shared" si="8"/>
        <v>33044</v>
      </c>
      <c r="AO24" s="77">
        <f>IF(L24="N",IF(B24="FS",ROUNDUP($V24*HRS!$B$9*'Position Control'!F24,0),ROUNDUP('Position Control'!$V24*HRS!$L$2*'Position Control'!F24,0)),IF('Position Control'!B24="FS",ROUNDUP(('Position Control'!V24*HRS!$B$9*'Position Control'!W24*'Position Control'!F24)+('Position Control'!X24*HRS!$B$9*'Position Control'!Y24*'Position Control'!F24),0),ROUNDUP(('Position Control'!V24*HRS!$L$2*'Position Control'!W24*'Position Control'!F24)+('Position Control'!X24*HRS!$L$2*'Position Control'!Y24*'Position Control'!F24),0)))*'Position Control'!H24</f>
        <v>33044</v>
      </c>
      <c r="AP24" s="77">
        <f t="shared" si="9"/>
        <v>0</v>
      </c>
      <c r="AQ24" s="77">
        <f t="shared" si="10"/>
        <v>0</v>
      </c>
      <c r="AR24" s="77">
        <f t="shared" si="11"/>
        <v>0</v>
      </c>
      <c r="AS24" s="77">
        <v>0</v>
      </c>
      <c r="AT24" s="79">
        <f t="shared" si="12"/>
        <v>0</v>
      </c>
      <c r="AU24" s="77">
        <f t="shared" si="13"/>
        <v>0</v>
      </c>
      <c r="AV24" s="77">
        <v>0</v>
      </c>
      <c r="AW24" s="77">
        <f t="shared" si="14"/>
        <v>0</v>
      </c>
      <c r="AX24" s="77">
        <f t="shared" si="15"/>
        <v>0</v>
      </c>
      <c r="AY24" s="77">
        <f t="shared" si="16"/>
        <v>0</v>
      </c>
      <c r="AZ24" s="77">
        <f t="shared" si="17"/>
        <v>0</v>
      </c>
      <c r="BA24" s="77">
        <f t="shared" si="18"/>
        <v>0</v>
      </c>
      <c r="BB24" s="77">
        <f t="shared" si="19"/>
        <v>0</v>
      </c>
      <c r="BC24" s="77">
        <f t="shared" si="1"/>
        <v>0</v>
      </c>
      <c r="BD24" s="77">
        <f t="shared" si="20"/>
        <v>275</v>
      </c>
      <c r="BE24" s="77">
        <v>0</v>
      </c>
      <c r="BF24" s="77">
        <f t="shared" si="21"/>
        <v>80.400000000000006</v>
      </c>
      <c r="BG24" s="77">
        <f>VLOOKUP($AJ24,BENE!$I$2:$N$9,6,FALSE)*'Position Control'!$H24</f>
        <v>414</v>
      </c>
      <c r="BH24" s="77">
        <f>VLOOKUP($AK24,BENE!$A$2:$F$19,6,FALSE)*'Position Control'!$H24</f>
        <v>7234</v>
      </c>
      <c r="BI24" s="77">
        <f>VLOOKUP($AK24,BENE!$A$2:$G$19,7,FALSE)*'Position Control'!$H24</f>
        <v>0</v>
      </c>
      <c r="BJ24" s="77">
        <f>VLOOKUP($AL24,BENE!$P$2:$S$6,4,FALSE)*'Position Control'!$H24</f>
        <v>0</v>
      </c>
      <c r="BK24" s="77">
        <f>IF($F24&gt;HRS!$H$2,ROUNDUP(((($AN24+$BE24)*$BK$3)/12*9)+(($AN24+$BE24)*HRS!$B$10/12*3),0),0)*$H24</f>
        <v>5572</v>
      </c>
      <c r="BL24" s="80">
        <f t="shared" si="22"/>
        <v>453</v>
      </c>
      <c r="BM24" s="77">
        <f t="shared" si="23"/>
        <v>144</v>
      </c>
      <c r="BN24" s="77">
        <f t="shared" si="24"/>
        <v>480</v>
      </c>
      <c r="BO24" s="77">
        <f t="shared" si="25"/>
        <v>59</v>
      </c>
      <c r="BP24" s="77">
        <f t="shared" si="26"/>
        <v>0</v>
      </c>
      <c r="BQ24" s="77">
        <v>0</v>
      </c>
      <c r="BR24" s="80">
        <f t="shared" si="27"/>
        <v>47755.4</v>
      </c>
    </row>
    <row r="25" spans="1:70" outlineLevel="1" x14ac:dyDescent="0.35">
      <c r="A25" s="1" t="s">
        <v>6</v>
      </c>
      <c r="B25" s="1" t="s">
        <v>7</v>
      </c>
      <c r="C25" s="1" t="s">
        <v>8</v>
      </c>
      <c r="D25" s="1" t="s">
        <v>27</v>
      </c>
      <c r="E25" s="1" t="s">
        <v>38</v>
      </c>
      <c r="F25" s="2">
        <v>1</v>
      </c>
      <c r="G25" s="66">
        <v>0</v>
      </c>
      <c r="H25" s="66">
        <v>1</v>
      </c>
      <c r="I25" s="10" t="s">
        <v>409</v>
      </c>
      <c r="J25" s="10" t="s">
        <v>410</v>
      </c>
      <c r="K25" s="1"/>
      <c r="L25" s="76" t="str">
        <f>IF(M25="","N",STEP!$J$22)</f>
        <v>N</v>
      </c>
      <c r="M25" s="1"/>
      <c r="N25" s="1"/>
      <c r="O25" s="1"/>
      <c r="P25" s="1"/>
      <c r="Q25" s="185">
        <v>20221002</v>
      </c>
      <c r="R25" s="196">
        <v>44836</v>
      </c>
      <c r="S25" s="197">
        <f t="shared" si="6"/>
        <v>0</v>
      </c>
      <c r="T25" s="66">
        <f t="shared" si="7"/>
        <v>0</v>
      </c>
      <c r="U25" s="1"/>
      <c r="V25" s="70">
        <v>0</v>
      </c>
      <c r="W25" s="74"/>
      <c r="X25" s="70"/>
      <c r="Y25" s="74"/>
      <c r="Z25" s="1">
        <v>8810</v>
      </c>
      <c r="AA25" s="112">
        <f>VLOOKUP(Z25,'WRK COMP'!$A$1:$E$17,5,FALSE)</f>
        <v>1.0169999999999999E-3</v>
      </c>
      <c r="AB25" s="76" t="s">
        <v>13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10" t="s">
        <v>49</v>
      </c>
      <c r="AK25" s="10" t="s">
        <v>49</v>
      </c>
      <c r="AL25" s="10" t="s">
        <v>49</v>
      </c>
      <c r="AM25" s="78">
        <f>IF(F25&gt;0.79,IF(ROUNDUP(IF(B25="FS",(V25*HRS!$B$9),(V25*HRS!$L$2))*2,-3)&gt;150000,150000,(ROUNDUP(IF(B25="FS",(V25*HRS!$B$9),(V25*HRS!$L$2))*2,-3))),0)</f>
        <v>0</v>
      </c>
      <c r="AN25" s="188">
        <f t="shared" si="8"/>
        <v>0</v>
      </c>
      <c r="AO25" s="77">
        <f>IF(L25="N",IF(B25="FS",ROUNDUP($V25*HRS!$B$9*'Position Control'!F25,0),ROUNDUP('Position Control'!$V25*HRS!$L$2*'Position Control'!F25,0)),IF('Position Control'!B25="FS",ROUNDUP(('Position Control'!V25*HRS!$B$9*'Position Control'!W25*'Position Control'!F25)+('Position Control'!X25*HRS!$B$9*'Position Control'!Y25*'Position Control'!F25),0),ROUNDUP(('Position Control'!V25*HRS!$L$2*'Position Control'!W25*'Position Control'!F25)+('Position Control'!X25*HRS!$L$2*'Position Control'!Y25*'Position Control'!F25),0)))*'Position Control'!H25</f>
        <v>0</v>
      </c>
      <c r="AP25" s="77">
        <f t="shared" si="9"/>
        <v>0</v>
      </c>
      <c r="AQ25" s="77">
        <f t="shared" si="10"/>
        <v>0</v>
      </c>
      <c r="AR25" s="77">
        <f t="shared" si="11"/>
        <v>0</v>
      </c>
      <c r="AS25" s="77">
        <v>0</v>
      </c>
      <c r="AT25" s="79">
        <f t="shared" si="12"/>
        <v>0</v>
      </c>
      <c r="AU25" s="77">
        <f t="shared" si="13"/>
        <v>0</v>
      </c>
      <c r="AV25" s="77">
        <v>0</v>
      </c>
      <c r="AW25" s="77">
        <f t="shared" si="14"/>
        <v>0</v>
      </c>
      <c r="AX25" s="77">
        <f t="shared" si="15"/>
        <v>0</v>
      </c>
      <c r="AY25" s="77">
        <f t="shared" si="16"/>
        <v>0</v>
      </c>
      <c r="AZ25" s="77">
        <f t="shared" si="17"/>
        <v>0</v>
      </c>
      <c r="BA25" s="77">
        <f t="shared" si="18"/>
        <v>0</v>
      </c>
      <c r="BB25" s="77">
        <f t="shared" si="19"/>
        <v>0</v>
      </c>
      <c r="BC25" s="77">
        <f t="shared" si="1"/>
        <v>0</v>
      </c>
      <c r="BD25" s="77">
        <f t="shared" si="20"/>
        <v>0</v>
      </c>
      <c r="BE25" s="77">
        <f>'DIVISION BUDGETS'!D9</f>
        <v>4000</v>
      </c>
      <c r="BF25" s="77">
        <f t="shared" si="21"/>
        <v>0</v>
      </c>
      <c r="BG25" s="77">
        <f>VLOOKUP($AJ25,BENE!$I$2:$N$9,6,FALSE)*'Position Control'!$H25</f>
        <v>0</v>
      </c>
      <c r="BH25" s="77">
        <f>VLOOKUP($AK25,BENE!$A$2:$F$19,6,FALSE)*'Position Control'!$H25</f>
        <v>0</v>
      </c>
      <c r="BI25" s="77">
        <f>VLOOKUP($AK25,BENE!$A$2:$G$19,7,FALSE)*'Position Control'!$H25</f>
        <v>0</v>
      </c>
      <c r="BJ25" s="77">
        <f>VLOOKUP($AL25,BENE!$P$2:$S$6,4,FALSE)*'Position Control'!$H25</f>
        <v>0</v>
      </c>
      <c r="BK25" s="77">
        <f>IF($F25&gt;HRS!$H$2,ROUNDUP(((($AN25+$BE25)*$BK$3)/12*9)+(($AN25+$BE25)*HRS!$B$10/12*3),0),0)*$H25</f>
        <v>675</v>
      </c>
      <c r="BL25" s="80">
        <f t="shared" si="22"/>
        <v>0</v>
      </c>
      <c r="BM25" s="77">
        <f t="shared" si="23"/>
        <v>0</v>
      </c>
      <c r="BN25" s="77">
        <f t="shared" si="24"/>
        <v>0</v>
      </c>
      <c r="BO25" s="77">
        <f t="shared" si="25"/>
        <v>0</v>
      </c>
      <c r="BP25" s="77">
        <f t="shared" si="26"/>
        <v>0</v>
      </c>
      <c r="BQ25" s="77">
        <f>'DIVISION BUDGETS'!G9</f>
        <v>200</v>
      </c>
      <c r="BR25" s="80">
        <f t="shared" si="27"/>
        <v>4875</v>
      </c>
    </row>
    <row r="26" spans="1:70" s="171" customFormat="1" x14ac:dyDescent="0.35">
      <c r="A26" s="161"/>
      <c r="B26" s="161"/>
      <c r="C26" s="161"/>
      <c r="D26" s="161"/>
      <c r="E26" s="161"/>
      <c r="F26" s="162"/>
      <c r="G26" s="163">
        <f>SUBTOTAL(9,G19:G25)</f>
        <v>6</v>
      </c>
      <c r="H26" s="163"/>
      <c r="I26" s="161" t="s">
        <v>552</v>
      </c>
      <c r="J26" s="161"/>
      <c r="K26" s="161"/>
      <c r="L26" s="164"/>
      <c r="M26" s="161"/>
      <c r="N26" s="161"/>
      <c r="O26" s="161"/>
      <c r="P26" s="161"/>
      <c r="Q26" s="186"/>
      <c r="R26" s="200"/>
      <c r="S26" s="208"/>
      <c r="T26" s="163"/>
      <c r="U26" s="161"/>
      <c r="V26" s="165"/>
      <c r="W26" s="166"/>
      <c r="X26" s="165"/>
      <c r="Y26" s="166"/>
      <c r="Z26" s="161"/>
      <c r="AA26" s="167"/>
      <c r="AB26" s="164"/>
      <c r="AC26" s="168"/>
      <c r="AD26" s="168"/>
      <c r="AE26" s="168"/>
      <c r="AF26" s="168"/>
      <c r="AG26" s="168"/>
      <c r="AH26" s="168"/>
      <c r="AI26" s="168"/>
      <c r="AJ26" s="161"/>
      <c r="AK26" s="161"/>
      <c r="AL26" s="161"/>
      <c r="AM26" s="169"/>
      <c r="AN26" s="189">
        <f t="shared" ref="AN26:BR26" si="28">SUBTOTAL(9,AN19:AN25)</f>
        <v>269769</v>
      </c>
      <c r="AO26" s="170">
        <f t="shared" si="28"/>
        <v>266167</v>
      </c>
      <c r="AP26" s="170">
        <f t="shared" si="28"/>
        <v>0</v>
      </c>
      <c r="AQ26" s="170">
        <f t="shared" si="28"/>
        <v>3602</v>
      </c>
      <c r="AR26" s="170">
        <f t="shared" si="28"/>
        <v>0</v>
      </c>
      <c r="AS26" s="170">
        <f t="shared" si="28"/>
        <v>0</v>
      </c>
      <c r="AT26" s="170">
        <f t="shared" si="28"/>
        <v>0</v>
      </c>
      <c r="AU26" s="170">
        <f t="shared" si="28"/>
        <v>0</v>
      </c>
      <c r="AV26" s="170">
        <f t="shared" si="28"/>
        <v>0</v>
      </c>
      <c r="AW26" s="170">
        <f t="shared" si="28"/>
        <v>0</v>
      </c>
      <c r="AX26" s="170">
        <f t="shared" si="28"/>
        <v>0</v>
      </c>
      <c r="AY26" s="170">
        <f t="shared" si="28"/>
        <v>0</v>
      </c>
      <c r="AZ26" s="170">
        <f t="shared" si="28"/>
        <v>0</v>
      </c>
      <c r="BA26" s="170">
        <f t="shared" si="28"/>
        <v>0</v>
      </c>
      <c r="BB26" s="170">
        <f t="shared" si="28"/>
        <v>0</v>
      </c>
      <c r="BC26" s="170">
        <f t="shared" si="28"/>
        <v>0</v>
      </c>
      <c r="BD26" s="170">
        <f t="shared" si="28"/>
        <v>1800</v>
      </c>
      <c r="BE26" s="170">
        <f t="shared" si="28"/>
        <v>4000</v>
      </c>
      <c r="BF26" s="170">
        <f t="shared" si="28"/>
        <v>640.80000000000007</v>
      </c>
      <c r="BG26" s="170">
        <f t="shared" si="28"/>
        <v>1845</v>
      </c>
      <c r="BH26" s="170">
        <f t="shared" si="28"/>
        <v>43325</v>
      </c>
      <c r="BI26" s="170">
        <f t="shared" si="28"/>
        <v>3500</v>
      </c>
      <c r="BJ26" s="170">
        <f t="shared" si="28"/>
        <v>792</v>
      </c>
      <c r="BK26" s="170">
        <f t="shared" si="28"/>
        <v>46161</v>
      </c>
      <c r="BL26" s="170">
        <f t="shared" si="28"/>
        <v>2739</v>
      </c>
      <c r="BM26" s="170">
        <f t="shared" si="28"/>
        <v>864</v>
      </c>
      <c r="BN26" s="170">
        <f t="shared" si="28"/>
        <v>3915</v>
      </c>
      <c r="BO26" s="170">
        <f t="shared" si="28"/>
        <v>485</v>
      </c>
      <c r="BP26" s="170">
        <f t="shared" si="28"/>
        <v>1500</v>
      </c>
      <c r="BQ26" s="170">
        <f t="shared" si="28"/>
        <v>200</v>
      </c>
      <c r="BR26" s="170">
        <f t="shared" si="28"/>
        <v>381535.80000000005</v>
      </c>
    </row>
    <row r="27" spans="1:70" outlineLevel="1" x14ac:dyDescent="0.35">
      <c r="A27" s="1" t="s">
        <v>6</v>
      </c>
      <c r="B27" s="1" t="s">
        <v>7</v>
      </c>
      <c r="C27" s="1" t="s">
        <v>8</v>
      </c>
      <c r="D27" s="1" t="s">
        <v>46</v>
      </c>
      <c r="E27" s="1" t="s">
        <v>47</v>
      </c>
      <c r="F27" s="2">
        <v>1</v>
      </c>
      <c r="G27" s="66">
        <v>1</v>
      </c>
      <c r="H27" s="66">
        <v>1</v>
      </c>
      <c r="I27" s="1" t="s">
        <v>611</v>
      </c>
      <c r="J27" s="1" t="s">
        <v>612</v>
      </c>
      <c r="K27" s="1" t="s">
        <v>596</v>
      </c>
      <c r="L27" s="76" t="str">
        <f>IF(M27="","N",STEP!$J$22)</f>
        <v>N</v>
      </c>
      <c r="M27" s="1" t="s">
        <v>11</v>
      </c>
      <c r="N27" s="1" t="s">
        <v>11</v>
      </c>
      <c r="O27" s="1" t="s">
        <v>11</v>
      </c>
      <c r="P27" s="1"/>
      <c r="Q27" s="185">
        <v>20210104</v>
      </c>
      <c r="R27" s="196">
        <v>44200</v>
      </c>
      <c r="S27" s="197">
        <f>IF(A27="FT",IF(R27&gt;$S$1,0,(DATEDIF(R27,$S$1,"M"))),0)</f>
        <v>20</v>
      </c>
      <c r="T27" s="66">
        <f>ROUNDDOWN(IF(A27="FT",DATEDIF(R27,$T$1,"y"),0),0)</f>
        <v>2</v>
      </c>
      <c r="U27" s="1" t="s">
        <v>12</v>
      </c>
      <c r="V27" s="70">
        <v>86.538499999999999</v>
      </c>
      <c r="W27" s="74"/>
      <c r="X27" s="70"/>
      <c r="Y27" s="74"/>
      <c r="Z27" s="1">
        <v>8810</v>
      </c>
      <c r="AA27" s="112">
        <f>VLOOKUP(Z27,'WRK COMP'!$A$1:$E$17,5,FALSE)</f>
        <v>1.0169999999999999E-3</v>
      </c>
      <c r="AB27" s="76" t="s">
        <v>13</v>
      </c>
      <c r="AC27" s="68">
        <v>138.46</v>
      </c>
      <c r="AD27" s="68">
        <v>0</v>
      </c>
      <c r="AE27" s="68">
        <v>0</v>
      </c>
      <c r="AF27" s="68">
        <v>0</v>
      </c>
      <c r="AG27" s="68">
        <v>0</v>
      </c>
      <c r="AH27" s="68">
        <v>12.5</v>
      </c>
      <c r="AI27" s="68">
        <v>0</v>
      </c>
      <c r="AJ27" s="10" t="s">
        <v>49</v>
      </c>
      <c r="AK27" s="10" t="s">
        <v>49</v>
      </c>
      <c r="AL27" s="10" t="s">
        <v>49</v>
      </c>
      <c r="AM27" s="78">
        <f>IF(F27&gt;0.79,IF(ROUNDUP(IF(B27="FS",(V27*HRS!$B$9),(V27*HRS!$L$2))*2,-3)&gt;150000,150000,(ROUNDUP(IF(B27="FS",(V27*HRS!$B$9),(V27*HRS!$L$2))*2,-3))),0)</f>
        <v>150000</v>
      </c>
      <c r="AN27" s="188">
        <f>SUM(AO27:BB27)</f>
        <v>187801</v>
      </c>
      <c r="AO27" s="77">
        <f>IF(L27="N",IF(B27="FS",ROUNDUP($V27*HRS!$B$9*'Position Control'!F27,0),ROUNDUP('Position Control'!$V27*HRS!$L$2*'Position Control'!F27,0)),IF('Position Control'!B27="FS",ROUNDUP(('Position Control'!V27*HRS!$B$9*'Position Control'!W27*'Position Control'!F27)+('Position Control'!X27*HRS!$B$9*'Position Control'!Y27*'Position Control'!F27),0),ROUNDUP(('Position Control'!V27*HRS!$L$2*'Position Control'!W27*'Position Control'!F27)+('Position Control'!X27*HRS!$L$2*'Position Control'!Y27*'Position Control'!F27),0)))*'Position Control'!H27</f>
        <v>180001</v>
      </c>
      <c r="AP27" s="77">
        <f>ROUNDUP(52*AC27,0)*H27</f>
        <v>7200</v>
      </c>
      <c r="AQ27" s="77">
        <f>IF(B27="FS",ROUNDUP(24*AD27,0),IF(B27="POL",ROUNDUP(26*AD27,0),ROUNDUP(52*AD27,0)))*$H27</f>
        <v>0</v>
      </c>
      <c r="AR27" s="77">
        <f>IF(B27="FS",ROUNDUP(AG27*24,0),ROUNDUP(52*AG27,0))*H27</f>
        <v>0</v>
      </c>
      <c r="AS27" s="77">
        <v>0</v>
      </c>
      <c r="AT27" s="79">
        <f>ROUNDUP(26*AF27,0)*H27</f>
        <v>0</v>
      </c>
      <c r="AU27" s="77">
        <f>IF(B27="FS",ROUNDUP(24*AH27,0),IF(B27="POL",ROUNDUP(26*AH27,0),ROUNDUP(48*AH27,0)))*$H27</f>
        <v>600</v>
      </c>
      <c r="AV27" s="77">
        <v>0</v>
      </c>
      <c r="AW27" s="77">
        <f>IF(B27="FS",ROUNDUP(24*AE27,0),IF(B27="POL",ROUNDUP(26*AE27,0),ROUNDUP(52*AE27,0)))*$H27</f>
        <v>0</v>
      </c>
      <c r="AX27" s="77">
        <f>IF(AND(Q27&lt;20220401,A27&lt;&gt;"SP"),($AX$3*(AO27+BE27)),0)</f>
        <v>0</v>
      </c>
      <c r="AY27" s="77">
        <f>IF(AND($L27="N",$Q27&lt;20220401,$A27&lt;&gt;"SP",$AO27&lt;100000),($AY$3*($AO27+$BE27)),0)</f>
        <v>0</v>
      </c>
      <c r="AZ27" s="77">
        <f>IF(AND($L27="N",$Q27&lt;20220401,$A27&lt;&gt;"SP",$AO27&gt;100000),($AZ$3*($AO27+$BE27)),0)</f>
        <v>0</v>
      </c>
      <c r="BA27" s="77">
        <f>IF(AND($L27="N",$Q27&lt;20220401,$A27&lt;&gt;"SP"),($BA$3*($AO27+$BE27)),0)</f>
        <v>0</v>
      </c>
      <c r="BB27" s="77">
        <f>IF(AND($L27="Y",$Q27&lt;20220401,$A27&lt;&gt;"SP"),($BB$3*($AO27+$BE27)),0)</f>
        <v>0</v>
      </c>
      <c r="BC27" s="77">
        <f t="shared" si="1"/>
        <v>0</v>
      </c>
      <c r="BD27" s="77">
        <f>IF($S27&gt;=12,IF(($S27*5)&gt;1200,1200,$S27*5),0)*$H27</f>
        <v>100</v>
      </c>
      <c r="BE27" s="77">
        <v>0</v>
      </c>
      <c r="BF27" s="77">
        <f>$AM27*$BF$3*12*$H27</f>
        <v>180</v>
      </c>
      <c r="BG27" s="77">
        <f>VLOOKUP($AJ27,BENE!$I$2:$N$9,6,FALSE)*'Position Control'!$H27</f>
        <v>0</v>
      </c>
      <c r="BH27" s="77">
        <f>VLOOKUP($AK27,BENE!$A$2:$F$19,6,FALSE)*'Position Control'!$H27</f>
        <v>0</v>
      </c>
      <c r="BI27" s="77">
        <f>VLOOKUP($AK27,BENE!$A$2:$G$19,7,FALSE)*'Position Control'!$H27</f>
        <v>0</v>
      </c>
      <c r="BJ27" s="77">
        <f>VLOOKUP($AL27,BENE!$P$2:$S$6,4,FALSE)*'Position Control'!$H27</f>
        <v>0</v>
      </c>
      <c r="BK27" s="77">
        <f>IF($F27&gt;HRS!$H$2,ROUNDUP(((($AN27+$BE27)*$BK$3)/12*9)+(($AN27+$BE27)*HRS!$B$10/12*3),0),0)*$H27</f>
        <v>31664</v>
      </c>
      <c r="BL27" s="80">
        <f>ROUNDUP($AN27*$AA27,0)*$H27</f>
        <v>191</v>
      </c>
      <c r="BM27" s="77">
        <f>ROUNDUP(IF($AN27&gt;9000,$BM$3*9000,$BM$3*$AN27),0)*$H27</f>
        <v>144</v>
      </c>
      <c r="BN27" s="77">
        <f>IF($AB27="Y",ROUNDUP($AN27*$BN$3,0),0)*$H27</f>
        <v>2724</v>
      </c>
      <c r="BO27" s="77">
        <f>IF($A27&lt;&gt;"SP",ROUND($BO$3*$AN27,0)*$H27,0)</f>
        <v>338</v>
      </c>
      <c r="BP27" s="77">
        <f>IF($T27&gt;24,2000,IF($T27&gt;19,1750,IF($T27&gt;14,1500,IF($T27&gt;9.9999999999999,1000,0))))*$H27</f>
        <v>0</v>
      </c>
      <c r="BQ27" s="77">
        <v>0</v>
      </c>
      <c r="BR27" s="80">
        <f>SUM(AO27:AW27)+SUM(BC27:BQ27)</f>
        <v>223142</v>
      </c>
    </row>
    <row r="28" spans="1:70" outlineLevel="1" x14ac:dyDescent="0.35">
      <c r="A28" s="1" t="s">
        <v>6</v>
      </c>
      <c r="B28" s="1" t="s">
        <v>7</v>
      </c>
      <c r="C28" s="1" t="s">
        <v>8</v>
      </c>
      <c r="D28" s="1" t="s">
        <v>46</v>
      </c>
      <c r="E28" s="1" t="s">
        <v>47</v>
      </c>
      <c r="F28" s="2">
        <v>1</v>
      </c>
      <c r="G28" s="66">
        <v>1</v>
      </c>
      <c r="H28" s="66">
        <v>1</v>
      </c>
      <c r="I28" s="1" t="s">
        <v>611</v>
      </c>
      <c r="J28" s="1" t="s">
        <v>612</v>
      </c>
      <c r="K28" s="1" t="s">
        <v>48</v>
      </c>
      <c r="L28" s="76" t="str">
        <f>IF(M28="","N",STEP!$J$22)</f>
        <v>N</v>
      </c>
      <c r="M28" s="1" t="s">
        <v>11</v>
      </c>
      <c r="N28" s="1" t="s">
        <v>11</v>
      </c>
      <c r="O28" s="1" t="s">
        <v>11</v>
      </c>
      <c r="P28" s="1"/>
      <c r="Q28" s="185">
        <v>20120919</v>
      </c>
      <c r="R28" s="196">
        <v>41171</v>
      </c>
      <c r="S28" s="197">
        <f>IF(A28="FT",IF(R28&gt;$S$1,0,(DATEDIF(R28,$S$1,"M"))),0)</f>
        <v>120</v>
      </c>
      <c r="T28" s="66">
        <f>ROUNDDOWN(IF(A28="FT",DATEDIF(R28,$T$1,"y"),0),0)</f>
        <v>11</v>
      </c>
      <c r="U28" s="1" t="s">
        <v>12</v>
      </c>
      <c r="V28" s="70">
        <v>29.720400000000001</v>
      </c>
      <c r="W28" s="74"/>
      <c r="X28" s="70"/>
      <c r="Y28" s="74"/>
      <c r="Z28" s="1">
        <v>8810</v>
      </c>
      <c r="AA28" s="112">
        <f>VLOOKUP(Z28,'WRK COMP'!$A$1:$E$17,5,FALSE)</f>
        <v>1.0169999999999999E-3</v>
      </c>
      <c r="AB28" s="76" t="s">
        <v>13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1" t="s">
        <v>25</v>
      </c>
      <c r="AK28" s="9" t="s">
        <v>49</v>
      </c>
      <c r="AL28" s="1" t="s">
        <v>16</v>
      </c>
      <c r="AM28" s="78">
        <f>IF(F28&gt;0.79,IF(ROUNDUP(IF(B28="FS",(V28*HRS!$B$9),(V28*HRS!$L$2))*2,-3)&gt;150000,150000,(ROUNDUP(IF(B28="FS",(V28*HRS!$B$9),(V28*HRS!$L$2))*2,-3))),0)</f>
        <v>124000</v>
      </c>
      <c r="AN28" s="188">
        <f>SUM(AO28:BB28)</f>
        <v>61819</v>
      </c>
      <c r="AO28" s="77">
        <f>IF(L28="N",IF(B28="FS",ROUNDUP($V28*HRS!$B$9*'Position Control'!F28,0),ROUNDUP('Position Control'!$V28*HRS!$L$2*'Position Control'!F28,0)),IF('Position Control'!B28="FS",ROUNDUP(('Position Control'!V28*HRS!$B$9*'Position Control'!W28*'Position Control'!F28)+('Position Control'!X28*HRS!$B$9*'Position Control'!Y28*'Position Control'!F28),0),ROUNDUP(('Position Control'!V28*HRS!$L$2*'Position Control'!W28*'Position Control'!F28)+('Position Control'!X28*HRS!$L$2*'Position Control'!Y28*'Position Control'!F28),0)))*'Position Control'!H28</f>
        <v>61819</v>
      </c>
      <c r="AP28" s="77">
        <f>ROUNDUP(52*AC28,0)*H28</f>
        <v>0</v>
      </c>
      <c r="AQ28" s="77">
        <f>IF(B28="FS",ROUNDUP(24*AD28,0),IF(B28="POL",ROUNDUP(26*AD28,0),ROUNDUP(52*AD28,0)))*$H28</f>
        <v>0</v>
      </c>
      <c r="AR28" s="77">
        <f>IF(B28="FS",ROUNDUP(AG28*24,0),ROUNDUP(52*AG28,0))*H28</f>
        <v>0</v>
      </c>
      <c r="AS28" s="77">
        <v>0</v>
      </c>
      <c r="AT28" s="79">
        <f>ROUNDUP(26*AF28,0)*H28</f>
        <v>0</v>
      </c>
      <c r="AU28" s="77">
        <f>IF(B28="FS",ROUNDUP(24*AH28,0),IF(B28="POL",ROUNDUP(26*AH28,0),ROUNDUP(48*AH28,0)))*$H28</f>
        <v>0</v>
      </c>
      <c r="AV28" s="77">
        <v>0</v>
      </c>
      <c r="AW28" s="77">
        <f>IF(B28="FS",ROUNDUP(24*AE28,0),IF(B28="POL",ROUNDUP(26*AE28,0),ROUNDUP(52*AE28,0)))*$H28</f>
        <v>0</v>
      </c>
      <c r="AX28" s="77">
        <f>IF(AND(Q28&lt;20220401,A28&lt;&gt;"SP"),($AX$3*(AO28+BE28)),0)</f>
        <v>0</v>
      </c>
      <c r="AY28" s="77">
        <f>IF(AND($L28="N",$Q28&lt;20220401,$A28&lt;&gt;"SP",$AO28&lt;100000),($AY$3*($AO28+$BE28)),0)</f>
        <v>0</v>
      </c>
      <c r="AZ28" s="77">
        <f>IF(AND($L28="N",$Q28&lt;20220401,$A28&lt;&gt;"SP",$AO28&gt;100000),($AZ$3*($AO28+$BE28)),0)</f>
        <v>0</v>
      </c>
      <c r="BA28" s="77">
        <f>IF(AND($L28="N",$Q28&lt;20220401,$A28&lt;&gt;"SP"),($BA$3*($AO28+$BE28)),0)</f>
        <v>0</v>
      </c>
      <c r="BB28" s="77">
        <f>IF(AND($L28="Y",$Q28&lt;20220401,$A28&lt;&gt;"SP"),($BB$3*($AO28+$BE28)),0)</f>
        <v>0</v>
      </c>
      <c r="BC28" s="77">
        <f t="shared" si="1"/>
        <v>0</v>
      </c>
      <c r="BD28" s="77">
        <f>IF($S28&gt;=12,IF(($S28*5)&gt;1200,1200,$S28*5),0)*$H28</f>
        <v>600</v>
      </c>
      <c r="BE28" s="77">
        <v>0</v>
      </c>
      <c r="BF28" s="77">
        <f>$AM28*$BF$3*12*$H28</f>
        <v>148.80000000000001</v>
      </c>
      <c r="BG28" s="77">
        <f>VLOOKUP($AJ28,BENE!$I$2:$N$9,6,FALSE)*'Position Control'!$H28</f>
        <v>414</v>
      </c>
      <c r="BH28" s="77">
        <f>VLOOKUP($AK28,BENE!$A$2:$F$19,6,FALSE)*'Position Control'!$H28</f>
        <v>0</v>
      </c>
      <c r="BI28" s="77">
        <f>VLOOKUP($AK28,BENE!$A$2:$G$19,7,FALSE)*'Position Control'!$H28</f>
        <v>0</v>
      </c>
      <c r="BJ28" s="77">
        <f>VLOOKUP($AL28,BENE!$P$2:$S$6,4,FALSE)*'Position Control'!$H28</f>
        <v>240</v>
      </c>
      <c r="BK28" s="77">
        <f>IF($F28&gt;HRS!$H$2,ROUNDUP(((($AN28+$BE28)*$BK$3)/12*9)+(($AN28+$BE28)*HRS!$B$10/12*3),0),0)*$H28</f>
        <v>10423</v>
      </c>
      <c r="BL28" s="80">
        <f>ROUNDUP($AN28*$AA28,0)*$H28</f>
        <v>63</v>
      </c>
      <c r="BM28" s="77">
        <f>ROUNDUP(IF($AN28&gt;9000,$BM$3*9000,$BM$3*$AN28),0)*$H28</f>
        <v>144</v>
      </c>
      <c r="BN28" s="77">
        <f>IF($AB28="Y",ROUNDUP($AN28*$BN$3,0),0)*$H28</f>
        <v>897</v>
      </c>
      <c r="BO28" s="77">
        <f>IF($A28&lt;&gt;"SP",ROUND($BO$3*$AN28,0)*$H28,0)</f>
        <v>111</v>
      </c>
      <c r="BP28" s="77">
        <f>IF($T28&gt;24,2000,IF($T28&gt;19,1750,IF($T28&gt;14,1500,IF($T28&gt;9.9999999999999,1000,0))))*$H28</f>
        <v>1000</v>
      </c>
      <c r="BQ28" s="77">
        <v>0</v>
      </c>
      <c r="BR28" s="80">
        <f>SUM(AO28:AW28)+SUM(BC28:BQ28)</f>
        <v>75859.8</v>
      </c>
    </row>
    <row r="29" spans="1:70" outlineLevel="1" x14ac:dyDescent="0.35">
      <c r="A29" s="1" t="s">
        <v>6</v>
      </c>
      <c r="B29" s="1" t="s">
        <v>7</v>
      </c>
      <c r="C29" s="1" t="s">
        <v>8</v>
      </c>
      <c r="D29" s="1" t="s">
        <v>46</v>
      </c>
      <c r="E29" s="1" t="s">
        <v>47</v>
      </c>
      <c r="F29" s="2">
        <v>1</v>
      </c>
      <c r="G29" s="66">
        <v>0</v>
      </c>
      <c r="H29" s="66">
        <v>1</v>
      </c>
      <c r="I29" s="10" t="s">
        <v>409</v>
      </c>
      <c r="J29" s="10" t="s">
        <v>410</v>
      </c>
      <c r="K29" s="1"/>
      <c r="L29" s="76" t="str">
        <f>IF(M29="","N",STEP!$J$22)</f>
        <v>N</v>
      </c>
      <c r="M29" s="1"/>
      <c r="N29" s="1"/>
      <c r="O29" s="1"/>
      <c r="P29" s="1"/>
      <c r="Q29" s="185">
        <v>20221002</v>
      </c>
      <c r="R29" s="196">
        <v>44836</v>
      </c>
      <c r="S29" s="197">
        <f>IF(A29="FT",IF(R29&gt;$S$1,0,(DATEDIF(R29,$S$1,"M"))),0)</f>
        <v>0</v>
      </c>
      <c r="T29" s="66">
        <f>ROUNDDOWN(IF(A29="FT",DATEDIF(R29,$T$1,"y"),0),0)</f>
        <v>0</v>
      </c>
      <c r="U29" s="1"/>
      <c r="V29" s="70">
        <v>0</v>
      </c>
      <c r="W29" s="74"/>
      <c r="X29" s="70"/>
      <c r="Y29" s="74"/>
      <c r="Z29" s="1">
        <v>8810</v>
      </c>
      <c r="AA29" s="112">
        <f>VLOOKUP(Z29,'WRK COMP'!$A$1:$E$17,5,FALSE)</f>
        <v>1.0169999999999999E-3</v>
      </c>
      <c r="AB29" s="76" t="s">
        <v>13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10" t="s">
        <v>49</v>
      </c>
      <c r="AK29" s="10" t="s">
        <v>49</v>
      </c>
      <c r="AL29" s="10" t="s">
        <v>49</v>
      </c>
      <c r="AM29" s="78">
        <f>IF(F29&gt;0.79,IF(ROUNDUP(IF(B29="FS",(V29*HRS!$B$9),(V29*HRS!$L$2))*2,-3)&gt;150000,150000,(ROUNDUP(IF(B29="FS",(V29*HRS!$B$9),(V29*HRS!$L$2))*2,-3))),0)</f>
        <v>0</v>
      </c>
      <c r="AN29" s="188">
        <f>SUM(AO29:BB29)</f>
        <v>0</v>
      </c>
      <c r="AO29" s="77">
        <f>IF(L29="N",IF(B29="FS",ROUNDUP($V29*HRS!$B$9*'Position Control'!F29,0),ROUNDUP('Position Control'!$V29*HRS!$L$2*'Position Control'!F29,0)),IF('Position Control'!B29="FS",ROUNDUP(('Position Control'!V29*HRS!$B$9*'Position Control'!W29*'Position Control'!F29)+('Position Control'!X29*HRS!$B$9*'Position Control'!Y29*'Position Control'!F29),0),ROUNDUP(('Position Control'!V29*HRS!$L$2*'Position Control'!W29*'Position Control'!F29)+('Position Control'!X29*HRS!$L$2*'Position Control'!Y29*'Position Control'!F29),0)))*'Position Control'!H29</f>
        <v>0</v>
      </c>
      <c r="AP29" s="77">
        <f>ROUNDUP(52*AC29,0)*H29</f>
        <v>0</v>
      </c>
      <c r="AQ29" s="77">
        <f>IF(B29="FS",ROUNDUP(24*AD29,0),IF(B29="POL",ROUNDUP(26*AD29,0),ROUNDUP(52*AD29,0)))*$H29</f>
        <v>0</v>
      </c>
      <c r="AR29" s="77">
        <f>IF(B29="FS",ROUNDUP(AG29*24,0),ROUNDUP(52*AG29,0))*H29</f>
        <v>0</v>
      </c>
      <c r="AS29" s="77">
        <v>0</v>
      </c>
      <c r="AT29" s="79">
        <f>ROUNDUP(26*AF29,0)*H29</f>
        <v>0</v>
      </c>
      <c r="AU29" s="77">
        <f>IF(B29="FS",ROUNDUP(24*AH29,0),IF(B29="POL",ROUNDUP(26*AH29,0),ROUNDUP(48*AH29,0)))*$H29</f>
        <v>0</v>
      </c>
      <c r="AV29" s="77">
        <v>0</v>
      </c>
      <c r="AW29" s="77">
        <f>IF(B29="FS",ROUNDUP(24*AE29,0),IF(B29="POL",ROUNDUP(26*AE29,0),ROUNDUP(52*AE29,0)))*$H29</f>
        <v>0</v>
      </c>
      <c r="AX29" s="77">
        <f>IF(AND(Q29&lt;20220401,A29&lt;&gt;"SP"),($AX$3*(AO29+BE29)),0)</f>
        <v>0</v>
      </c>
      <c r="AY29" s="77">
        <f>IF(AND($L29="N",$Q29&lt;20220401,$A29&lt;&gt;"SP",$AO29&lt;100000),($AY$3*($AO29+$BE29)),0)</f>
        <v>0</v>
      </c>
      <c r="AZ29" s="77">
        <f>IF(AND($L29="N",$Q29&lt;20220401,$A29&lt;&gt;"SP",$AO29&gt;100000),($AZ$3*($AO29+$BE29)),0)</f>
        <v>0</v>
      </c>
      <c r="BA29" s="77">
        <f>IF(AND($L29="N",$Q29&lt;20220401,$A29&lt;&gt;"SP"),($BA$3*($AO29+$BE29)),0)</f>
        <v>0</v>
      </c>
      <c r="BB29" s="77">
        <f>IF(AND($L29="Y",$Q29&lt;20220401,$A29&lt;&gt;"SP"),($BB$3*($AO29+$BE29)),0)</f>
        <v>0</v>
      </c>
      <c r="BC29" s="77">
        <f t="shared" si="1"/>
        <v>0</v>
      </c>
      <c r="BD29" s="77">
        <f>IF($S29&gt;=12,IF(($S29*5)&gt;1200,1200,$S29*5),0)*$H29</f>
        <v>0</v>
      </c>
      <c r="BE29" s="77">
        <f>'DIVISION BUDGETS'!D10</f>
        <v>500</v>
      </c>
      <c r="BF29" s="77">
        <f>$AM29*$BF$3*12*$H29</f>
        <v>0</v>
      </c>
      <c r="BG29" s="77">
        <f>VLOOKUP($AJ29,BENE!$I$2:$N$9,6,FALSE)*'Position Control'!$H29</f>
        <v>0</v>
      </c>
      <c r="BH29" s="77">
        <f>VLOOKUP($AK29,BENE!$A$2:$F$19,6,FALSE)*'Position Control'!$H29</f>
        <v>0</v>
      </c>
      <c r="BI29" s="77">
        <f>VLOOKUP($AK29,BENE!$A$2:$G$19,7,FALSE)*'Position Control'!$H29</f>
        <v>0</v>
      </c>
      <c r="BJ29" s="77">
        <f>VLOOKUP($AL29,BENE!$P$2:$S$6,4,FALSE)*'Position Control'!$H29</f>
        <v>0</v>
      </c>
      <c r="BK29" s="77">
        <f>IF($F29&gt;HRS!$H$2,ROUNDUP(((($AN29+$BE29)*$BK$3)/12*9)+(($AN29+$BE29)*HRS!$B$10/12*3),0),0)*$H29</f>
        <v>85</v>
      </c>
      <c r="BL29" s="80">
        <f>ROUNDUP($AN29*$AA29,0)*$H29</f>
        <v>0</v>
      </c>
      <c r="BM29" s="77">
        <f>ROUNDUP(IF($AN29&gt;9000,$BM$3*9000,$BM$3*$AN29),0)*$H29</f>
        <v>0</v>
      </c>
      <c r="BN29" s="77">
        <f>IF($AB29="Y",ROUNDUP($AN29*$BN$3,0),0)*$H29</f>
        <v>0</v>
      </c>
      <c r="BO29" s="77">
        <f>IF($A29&lt;&gt;"SP",ROUND($BO$3*$AN29,0)*$H29,0)</f>
        <v>0</v>
      </c>
      <c r="BP29" s="77">
        <f>IF($T29&gt;24,2000,IF($T29&gt;19,1750,IF($T29&gt;14,1500,IF($T29&gt;9.9999999999999,1000,0))))*$H29</f>
        <v>0</v>
      </c>
      <c r="BQ29" s="77">
        <v>0</v>
      </c>
      <c r="BR29" s="80">
        <f>SUM(AO29:AW29)+SUM(BC29:BQ29)</f>
        <v>585</v>
      </c>
    </row>
    <row r="30" spans="1:70" s="171" customFormat="1" x14ac:dyDescent="0.35">
      <c r="A30" s="161"/>
      <c r="B30" s="161"/>
      <c r="C30" s="161"/>
      <c r="D30" s="161"/>
      <c r="E30" s="161"/>
      <c r="F30" s="162"/>
      <c r="G30" s="163">
        <f>SUBTOTAL(9,G27:G29)</f>
        <v>2</v>
      </c>
      <c r="H30" s="163"/>
      <c r="I30" s="161" t="s">
        <v>553</v>
      </c>
      <c r="J30" s="161"/>
      <c r="K30" s="161"/>
      <c r="L30" s="164"/>
      <c r="M30" s="161"/>
      <c r="N30" s="161"/>
      <c r="O30" s="161"/>
      <c r="P30" s="161"/>
      <c r="Q30" s="186"/>
      <c r="R30" s="200"/>
      <c r="S30" s="208"/>
      <c r="T30" s="163"/>
      <c r="U30" s="161"/>
      <c r="V30" s="165"/>
      <c r="W30" s="166"/>
      <c r="X30" s="165"/>
      <c r="Y30" s="166"/>
      <c r="Z30" s="161"/>
      <c r="AA30" s="167"/>
      <c r="AB30" s="164"/>
      <c r="AC30" s="168"/>
      <c r="AD30" s="168"/>
      <c r="AE30" s="168"/>
      <c r="AF30" s="168"/>
      <c r="AG30" s="168"/>
      <c r="AH30" s="168"/>
      <c r="AI30" s="168"/>
      <c r="AJ30" s="161"/>
      <c r="AK30" s="161"/>
      <c r="AL30" s="161"/>
      <c r="AM30" s="169"/>
      <c r="AN30" s="189">
        <f>SUBTOTAL(9,AN27:AN29)</f>
        <v>249620</v>
      </c>
      <c r="AO30" s="170">
        <f>SUBTOTAL(9,AO27:AO29)</f>
        <v>241820</v>
      </c>
      <c r="AP30" s="170">
        <f t="shared" ref="AP30:BR30" si="29">SUBTOTAL(9,AP27:AP29)</f>
        <v>7200</v>
      </c>
      <c r="AQ30" s="170">
        <f t="shared" si="29"/>
        <v>0</v>
      </c>
      <c r="AR30" s="170">
        <f t="shared" si="29"/>
        <v>0</v>
      </c>
      <c r="AS30" s="170">
        <f t="shared" si="29"/>
        <v>0</v>
      </c>
      <c r="AT30" s="170">
        <f t="shared" si="29"/>
        <v>0</v>
      </c>
      <c r="AU30" s="170">
        <f t="shared" si="29"/>
        <v>600</v>
      </c>
      <c r="AV30" s="170">
        <f t="shared" si="29"/>
        <v>0</v>
      </c>
      <c r="AW30" s="170">
        <f t="shared" si="29"/>
        <v>0</v>
      </c>
      <c r="AX30" s="170">
        <f t="shared" si="29"/>
        <v>0</v>
      </c>
      <c r="AY30" s="170">
        <f t="shared" si="29"/>
        <v>0</v>
      </c>
      <c r="AZ30" s="170">
        <f t="shared" si="29"/>
        <v>0</v>
      </c>
      <c r="BA30" s="170">
        <f t="shared" si="29"/>
        <v>0</v>
      </c>
      <c r="BB30" s="170">
        <f t="shared" si="29"/>
        <v>0</v>
      </c>
      <c r="BC30" s="170">
        <f t="shared" si="29"/>
        <v>0</v>
      </c>
      <c r="BD30" s="170">
        <f t="shared" si="29"/>
        <v>700</v>
      </c>
      <c r="BE30" s="170">
        <f t="shared" si="29"/>
        <v>500</v>
      </c>
      <c r="BF30" s="170">
        <f t="shared" si="29"/>
        <v>328.8</v>
      </c>
      <c r="BG30" s="170">
        <f t="shared" si="29"/>
        <v>414</v>
      </c>
      <c r="BH30" s="170">
        <f t="shared" si="29"/>
        <v>0</v>
      </c>
      <c r="BI30" s="170">
        <f t="shared" si="29"/>
        <v>0</v>
      </c>
      <c r="BJ30" s="170">
        <f t="shared" si="29"/>
        <v>240</v>
      </c>
      <c r="BK30" s="170">
        <f t="shared" si="29"/>
        <v>42172</v>
      </c>
      <c r="BL30" s="170">
        <f t="shared" si="29"/>
        <v>254</v>
      </c>
      <c r="BM30" s="170">
        <f t="shared" si="29"/>
        <v>288</v>
      </c>
      <c r="BN30" s="170">
        <f t="shared" si="29"/>
        <v>3621</v>
      </c>
      <c r="BO30" s="170">
        <f t="shared" si="29"/>
        <v>449</v>
      </c>
      <c r="BP30" s="170">
        <f t="shared" si="29"/>
        <v>1000</v>
      </c>
      <c r="BQ30" s="170">
        <f t="shared" si="29"/>
        <v>0</v>
      </c>
      <c r="BR30" s="170">
        <f t="shared" si="29"/>
        <v>299586.8</v>
      </c>
    </row>
    <row r="31" spans="1:70" outlineLevel="1" x14ac:dyDescent="0.35">
      <c r="A31" s="1" t="s">
        <v>6</v>
      </c>
      <c r="B31" s="1" t="s">
        <v>7</v>
      </c>
      <c r="C31" s="1" t="s">
        <v>8</v>
      </c>
      <c r="D31" s="1" t="s">
        <v>46</v>
      </c>
      <c r="E31" s="1" t="s">
        <v>54</v>
      </c>
      <c r="F31" s="2">
        <v>1</v>
      </c>
      <c r="G31" s="66">
        <v>0.5</v>
      </c>
      <c r="H31" s="66">
        <v>0.5</v>
      </c>
      <c r="I31" s="1" t="s">
        <v>611</v>
      </c>
      <c r="J31" s="1" t="s">
        <v>612</v>
      </c>
      <c r="K31" s="10" t="s">
        <v>603</v>
      </c>
      <c r="L31" s="76" t="str">
        <f>IF(M31="","N",STEP!$J$22)</f>
        <v>N</v>
      </c>
      <c r="M31" s="1" t="s">
        <v>11</v>
      </c>
      <c r="N31" s="1" t="s">
        <v>11</v>
      </c>
      <c r="O31" s="1" t="s">
        <v>11</v>
      </c>
      <c r="P31" s="1"/>
      <c r="Q31" s="185">
        <v>20210719</v>
      </c>
      <c r="R31" s="196">
        <v>44396</v>
      </c>
      <c r="S31" s="197">
        <f>IF(A31="FT",IF(R31&gt;$S$1,0,(DATEDIF(R31,$S$1,"M"))),0)</f>
        <v>14</v>
      </c>
      <c r="T31" s="66">
        <f>ROUNDDOWN(IF(A31="FT",DATEDIF(R31,$T$1,"y"),0),0)</f>
        <v>2</v>
      </c>
      <c r="U31" s="1" t="s">
        <v>12</v>
      </c>
      <c r="V31" s="70">
        <v>57.194699999999997</v>
      </c>
      <c r="W31" s="74"/>
      <c r="X31" s="70"/>
      <c r="Y31" s="74"/>
      <c r="Z31" s="1">
        <v>8810</v>
      </c>
      <c r="AA31" s="112">
        <f>VLOOKUP(Z31,'WRK COMP'!$A$1:$E$17,5,FALSE)</f>
        <v>1.0169999999999999E-3</v>
      </c>
      <c r="AB31" s="76" t="s">
        <v>13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0</v>
      </c>
      <c r="AJ31" s="1" t="s">
        <v>28</v>
      </c>
      <c r="AK31" s="1" t="s">
        <v>15</v>
      </c>
      <c r="AL31" s="1" t="s">
        <v>16</v>
      </c>
      <c r="AM31" s="78">
        <f>IF(F31&gt;0.79,IF(ROUNDUP(IF(B31="FS",(V31*HRS!$B$9),(V31*HRS!$L$2))*2,-3)&gt;150000,150000,(ROUNDUP(IF(B31="FS",(V31*HRS!$B$9),(V31*HRS!$L$2))*2,-3))),0)</f>
        <v>150000</v>
      </c>
      <c r="AN31" s="188">
        <f>SUM(AO31:BB31)</f>
        <v>59482.5</v>
      </c>
      <c r="AO31" s="77">
        <f>IF(L31="N",IF(B31="FS",ROUNDUP($V31*HRS!$B$9*'Position Control'!F31,0),ROUNDUP('Position Control'!$V31*HRS!$L$2*'Position Control'!F31,0)),IF('Position Control'!B31="FS",ROUNDUP(('Position Control'!V31*HRS!$B$9*'Position Control'!W31*'Position Control'!F31)+('Position Control'!X31*HRS!$B$9*'Position Control'!Y31*'Position Control'!F31),0),ROUNDUP(('Position Control'!V31*HRS!$L$2*'Position Control'!W31*'Position Control'!F31)+('Position Control'!X31*HRS!$L$2*'Position Control'!Y31*'Position Control'!F31),0)))*'Position Control'!H31</f>
        <v>59482.5</v>
      </c>
      <c r="AP31" s="77">
        <f>ROUNDUP(52*AC31,0)*H31</f>
        <v>0</v>
      </c>
      <c r="AQ31" s="77">
        <f>IF(B31="FS",ROUNDUP(24*AD31,0),IF(B31="POL",ROUNDUP(26*AD31,0),ROUNDUP(52*AD31,0)))*$H31</f>
        <v>0</v>
      </c>
      <c r="AR31" s="77">
        <f>IF(B31="FS",ROUNDUP(AG31*24,0),ROUNDUP(52*AG31,0))*H31</f>
        <v>0</v>
      </c>
      <c r="AS31" s="77">
        <v>0</v>
      </c>
      <c r="AT31" s="79">
        <f>ROUNDUP(26*AF31,0)*H31</f>
        <v>0</v>
      </c>
      <c r="AU31" s="77">
        <f>IF(B31="FS",ROUNDUP(24*AH31,0),IF(B31="POL",ROUNDUP(26*AH31,0),ROUNDUP(48*AH31,0)))*$H31</f>
        <v>0</v>
      </c>
      <c r="AV31" s="77">
        <v>0</v>
      </c>
      <c r="AW31" s="77">
        <f>IF(B31="FS",ROUNDUP(24*AE31,0),IF(B31="POL",ROUNDUP(26*AE31,0),ROUNDUP(52*AE31,0)))*$H31</f>
        <v>0</v>
      </c>
      <c r="AX31" s="77">
        <f>IF(AND(Q31&lt;20220401,A31&lt;&gt;"SP"),($AX$3*(AO31+BE31)),0)</f>
        <v>0</v>
      </c>
      <c r="AY31" s="77">
        <f>IF(AND($L31="N",$Q31&lt;20220401,$A31&lt;&gt;"SP",$AO31&lt;100000),($AY$3*($AO31+$BE31)),0)</f>
        <v>0</v>
      </c>
      <c r="AZ31" s="77">
        <f>IF(AND($L31="N",$Q31&lt;20220401,$A31&lt;&gt;"SP",$AO31&gt;100000),($AZ$3*($AO31+$BE31)),0)</f>
        <v>0</v>
      </c>
      <c r="BA31" s="77">
        <f>IF(AND($L31="N",$Q31&lt;20220401,$A31&lt;&gt;"SP"),($BA$3*($AO31+$BE31)),0)</f>
        <v>0</v>
      </c>
      <c r="BB31" s="77">
        <f>IF(AND($L31="Y",$Q31&lt;20220401,$A31&lt;&gt;"SP"),($BB$3*($AO31+$BE31)),0)</f>
        <v>0</v>
      </c>
      <c r="BC31" s="77">
        <f t="shared" si="1"/>
        <v>0</v>
      </c>
      <c r="BD31" s="77">
        <f>IF($S31&gt;=12,IF(($S31*5)&gt;1200,1200,$S31*5),0)*$H31</f>
        <v>35</v>
      </c>
      <c r="BE31" s="77">
        <v>0</v>
      </c>
      <c r="BF31" s="77">
        <f>$AM31*$BF$3*12*$H31</f>
        <v>90</v>
      </c>
      <c r="BG31" s="77">
        <f>VLOOKUP($AJ31,BENE!$I$2:$N$9,6,FALSE)*'Position Control'!$H31</f>
        <v>77</v>
      </c>
      <c r="BH31" s="77">
        <f>VLOOKUP($AK31,BENE!$A$2:$F$19,6,FALSE)*'Position Control'!$H31</f>
        <v>3071</v>
      </c>
      <c r="BI31" s="77">
        <f>VLOOKUP($AK31,BENE!$A$2:$G$19,7,FALSE)*'Position Control'!$H31</f>
        <v>500</v>
      </c>
      <c r="BJ31" s="77">
        <f>VLOOKUP($AL31,BENE!$P$2:$S$6,4,FALSE)*'Position Control'!$H31</f>
        <v>120</v>
      </c>
      <c r="BK31" s="77">
        <f>IF($F31&gt;HRS!$H$2,ROUNDUP(((($AN31+$BE31)*$BK$3)/12*9)+(($AN31+$BE31)*HRS!$B$10/12*3),0),0)*$H31</f>
        <v>5014.5</v>
      </c>
      <c r="BL31" s="80">
        <f>ROUNDUP($AN31*$AA31,0)*$H31</f>
        <v>30.5</v>
      </c>
      <c r="BM31" s="77">
        <f>ROUNDUP(IF($AN31&gt;9000,$BM$3*9000,$BM$3*$AN31),0)*$H31</f>
        <v>72</v>
      </c>
      <c r="BN31" s="77">
        <f>IF($AB31="Y",ROUNDUP($AN31*$BN$3,0),0)*$H31</f>
        <v>431.5</v>
      </c>
      <c r="BO31" s="77">
        <f>IF($A31&lt;&gt;"SP",ROUND($BO$3*$AN31,0)*$H31,0)</f>
        <v>53.5</v>
      </c>
      <c r="BP31" s="77">
        <f>IF($T31&gt;24,2000,IF($T31&gt;19,1750,IF($T31&gt;14,1500,IF($T31&gt;9.9999999999999,1000,0))))*$H31</f>
        <v>0</v>
      </c>
      <c r="BQ31" s="77">
        <v>0</v>
      </c>
      <c r="BR31" s="80">
        <f>SUM(AO31:AW31)+SUM(BC31:BQ31)</f>
        <v>68977.5</v>
      </c>
    </row>
    <row r="32" spans="1:70" outlineLevel="1" x14ac:dyDescent="0.35">
      <c r="A32" s="1" t="s">
        <v>6</v>
      </c>
      <c r="B32" s="1" t="s">
        <v>7</v>
      </c>
      <c r="C32" s="1" t="s">
        <v>8</v>
      </c>
      <c r="D32" s="1" t="s">
        <v>46</v>
      </c>
      <c r="E32" s="1" t="s">
        <v>54</v>
      </c>
      <c r="F32" s="2">
        <v>1</v>
      </c>
      <c r="G32" s="66">
        <v>1</v>
      </c>
      <c r="H32" s="66">
        <v>1</v>
      </c>
      <c r="I32" s="1" t="s">
        <v>411</v>
      </c>
      <c r="J32" s="1" t="s">
        <v>408</v>
      </c>
      <c r="K32" s="1" t="s">
        <v>55</v>
      </c>
      <c r="L32" s="76" t="str">
        <f>IF(M32="","N",STEP!$J$22)</f>
        <v>N</v>
      </c>
      <c r="M32" s="1" t="s">
        <v>11</v>
      </c>
      <c r="N32" s="1" t="s">
        <v>11</v>
      </c>
      <c r="O32" s="1" t="s">
        <v>11</v>
      </c>
      <c r="P32" s="1"/>
      <c r="Q32" s="185">
        <v>20220801</v>
      </c>
      <c r="R32" s="196">
        <v>44836</v>
      </c>
      <c r="S32" s="197">
        <f>IF(A32="FT",IF(R32&gt;$S$1,0,(DATEDIF(R32,$S$1,"M"))),0)</f>
        <v>0</v>
      </c>
      <c r="T32" s="66">
        <f>ROUNDDOWN(IF(A32="FT",DATEDIF(R32,$T$1,"y"),0),0)</f>
        <v>0</v>
      </c>
      <c r="U32" s="1" t="s">
        <v>12</v>
      </c>
      <c r="V32" s="70">
        <v>26.303899999999999</v>
      </c>
      <c r="W32" s="74"/>
      <c r="X32" s="70"/>
      <c r="Y32" s="74"/>
      <c r="Z32" s="1">
        <v>8810</v>
      </c>
      <c r="AA32" s="112">
        <f>VLOOKUP(Z32,'WRK COMP'!$A$1:$E$17,5,FALSE)</f>
        <v>1.0169999999999999E-3</v>
      </c>
      <c r="AB32" s="76" t="s">
        <v>13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0</v>
      </c>
      <c r="AJ32" s="1" t="s">
        <v>14</v>
      </c>
      <c r="AK32" s="1" t="s">
        <v>15</v>
      </c>
      <c r="AL32" s="1" t="s">
        <v>16</v>
      </c>
      <c r="AM32" s="78">
        <f>IF(F32&gt;0.79,IF(ROUNDUP(IF(B32="FS",(V32*HRS!$B$9),(V32*HRS!$L$2))*2,-3)&gt;150000,150000,(ROUNDUP(IF(B32="FS",(V32*HRS!$B$9),(V32*HRS!$L$2))*2,-3))),0)</f>
        <v>110000</v>
      </c>
      <c r="AN32" s="188">
        <f>SUM(AO32:BB32)</f>
        <v>54713</v>
      </c>
      <c r="AO32" s="77">
        <f>IF(L32="N",IF(B32="FS",ROUNDUP($V32*HRS!$B$9*'Position Control'!F32,0),ROUNDUP('Position Control'!$V32*HRS!$L$2*'Position Control'!F32,0)),IF('Position Control'!B32="FS",ROUNDUP(('Position Control'!V32*HRS!$B$9*'Position Control'!W32*'Position Control'!F32)+('Position Control'!X32*HRS!$B$9*'Position Control'!Y32*'Position Control'!F32),0),ROUNDUP(('Position Control'!V32*HRS!$L$2*'Position Control'!W32*'Position Control'!F32)+('Position Control'!X32*HRS!$L$2*'Position Control'!Y32*'Position Control'!F32),0)))*'Position Control'!H32</f>
        <v>54713</v>
      </c>
      <c r="AP32" s="77">
        <f>ROUNDUP(52*AC32,0)*H32</f>
        <v>0</v>
      </c>
      <c r="AQ32" s="77">
        <f>IF(B32="FS",ROUNDUP(24*AD32,0),IF(B32="POL",ROUNDUP(26*AD32,0),ROUNDUP(52*AD32,0)))*$H32</f>
        <v>0</v>
      </c>
      <c r="AR32" s="77">
        <f>IF(B32="FS",ROUNDUP(AG32*24,0),ROUNDUP(52*AG32,0))*H32</f>
        <v>0</v>
      </c>
      <c r="AS32" s="77">
        <v>0</v>
      </c>
      <c r="AT32" s="79">
        <f>ROUNDUP(26*AF32,0)*H32</f>
        <v>0</v>
      </c>
      <c r="AU32" s="77">
        <f>IF(B32="FS",ROUNDUP(24*AH32,0),IF(B32="POL",ROUNDUP(26*AH32,0),ROUNDUP(48*AH32,0)))*$H32</f>
        <v>0</v>
      </c>
      <c r="AV32" s="77">
        <v>0</v>
      </c>
      <c r="AW32" s="77">
        <f>IF(B32="FS",ROUNDUP(24*AE32,0),IF(B32="POL",ROUNDUP(26*AE32,0),ROUNDUP(52*AE32,0)))*$H32</f>
        <v>0</v>
      </c>
      <c r="AX32" s="77">
        <f>IF(AND(Q32&lt;20220401,A32&lt;&gt;"SP"),($AX$3*(AO32+BE32)),0)</f>
        <v>0</v>
      </c>
      <c r="AY32" s="77">
        <f>IF(AND($L32="N",$Q32&lt;20220401,$A32&lt;&gt;"SP",$AO32&lt;100000),($AY$3*($AO32+$BE32)),0)</f>
        <v>0</v>
      </c>
      <c r="AZ32" s="77">
        <f>IF(AND($L32="N",$Q32&lt;20220401,$A32&lt;&gt;"SP",$AO32&gt;100000),($AZ$3*($AO32+$BE32)),0)</f>
        <v>0</v>
      </c>
      <c r="BA32" s="77">
        <f>IF(AND($L32="N",$Q32&lt;20220401,$A32&lt;&gt;"SP"),($BA$3*($AO32+$BE32)),0)</f>
        <v>0</v>
      </c>
      <c r="BB32" s="77">
        <f>IF(AND($L32="Y",$Q32&lt;20220401,$A32&lt;&gt;"SP"),($BB$3*($AO32+$BE32)),0)</f>
        <v>0</v>
      </c>
      <c r="BC32" s="77">
        <f t="shared" si="1"/>
        <v>0</v>
      </c>
      <c r="BD32" s="77">
        <f>IF($S32&gt;=12,IF(($S32*5)&gt;1200,1200,$S32*5),0)*$H32</f>
        <v>0</v>
      </c>
      <c r="BE32" s="77">
        <v>0</v>
      </c>
      <c r="BF32" s="77">
        <f>$AM32*$BF$3*12*$H32</f>
        <v>132</v>
      </c>
      <c r="BG32" s="77">
        <f>VLOOKUP($AJ32,BENE!$I$2:$N$9,6,FALSE)*'Position Control'!$H32</f>
        <v>389</v>
      </c>
      <c r="BH32" s="77">
        <f>VLOOKUP($AK32,BENE!$A$2:$F$19,6,FALSE)*'Position Control'!$H32</f>
        <v>6142</v>
      </c>
      <c r="BI32" s="77">
        <f>VLOOKUP($AK32,BENE!$A$2:$G$19,7,FALSE)*'Position Control'!$H32</f>
        <v>1000</v>
      </c>
      <c r="BJ32" s="77">
        <f>VLOOKUP($AL32,BENE!$P$2:$S$6,4,FALSE)*'Position Control'!$H32</f>
        <v>240</v>
      </c>
      <c r="BK32" s="77">
        <f>IF($F32&gt;HRS!$H$2,ROUNDUP(((($AN32+$BE32)*$BK$3)/12*9)+(($AN32+$BE32)*HRS!$B$10/12*3),0),0)*$H32</f>
        <v>9225</v>
      </c>
      <c r="BL32" s="80">
        <f>ROUNDUP($AN32*$AA32,0)*$H32</f>
        <v>56</v>
      </c>
      <c r="BM32" s="77">
        <f>ROUNDUP(IF($AN32&gt;9000,$BM$3*9000,$BM$3*$AN32),0)*$H32</f>
        <v>144</v>
      </c>
      <c r="BN32" s="77">
        <f>IF($AB32="Y",ROUNDUP($AN32*$BN$3,0),0)*$H32</f>
        <v>794</v>
      </c>
      <c r="BO32" s="77">
        <f>IF($A32&lt;&gt;"SP",ROUND($BO$3*$AN32,0)*$H32,0)</f>
        <v>98</v>
      </c>
      <c r="BP32" s="77">
        <f>IF($T32&gt;24,2000,IF($T32&gt;19,1750,IF($T32&gt;14,1500,IF($T32&gt;9.9999999999999,1000,0))))*$H32</f>
        <v>0</v>
      </c>
      <c r="BQ32" s="77">
        <v>0</v>
      </c>
      <c r="BR32" s="80">
        <f>SUM(AO32:AW32)+SUM(BC32:BQ32)</f>
        <v>72933</v>
      </c>
    </row>
    <row r="33" spans="1:70" outlineLevel="1" x14ac:dyDescent="0.35">
      <c r="A33" s="1" t="s">
        <v>6</v>
      </c>
      <c r="B33" s="1" t="s">
        <v>7</v>
      </c>
      <c r="C33" s="1" t="s">
        <v>8</v>
      </c>
      <c r="D33" s="1" t="s">
        <v>46</v>
      </c>
      <c r="E33" s="1" t="s">
        <v>54</v>
      </c>
      <c r="F33" s="2">
        <v>1</v>
      </c>
      <c r="G33" s="66">
        <v>0</v>
      </c>
      <c r="H33" s="66">
        <v>1</v>
      </c>
      <c r="I33" s="10" t="s">
        <v>409</v>
      </c>
      <c r="J33" s="10" t="s">
        <v>410</v>
      </c>
      <c r="K33" s="1"/>
      <c r="L33" s="76" t="str">
        <f>IF(M33="","N",STEP!$J$22)</f>
        <v>N</v>
      </c>
      <c r="M33" s="1"/>
      <c r="N33" s="1"/>
      <c r="O33" s="1"/>
      <c r="P33" s="1"/>
      <c r="Q33" s="185">
        <v>20221002</v>
      </c>
      <c r="R33" s="196">
        <v>44836</v>
      </c>
      <c r="S33" s="197">
        <f>IF(A33="FT",IF(R33&gt;$S$1,0,(DATEDIF(R33,$S$1,"M"))),0)</f>
        <v>0</v>
      </c>
      <c r="T33" s="66">
        <f>ROUNDDOWN(IF(A33="FT",DATEDIF(R33,$T$1,"y"),0),0)</f>
        <v>0</v>
      </c>
      <c r="U33" s="1"/>
      <c r="V33" s="70">
        <v>0</v>
      </c>
      <c r="W33" s="74"/>
      <c r="X33" s="70"/>
      <c r="Y33" s="74"/>
      <c r="Z33" s="1">
        <v>8810</v>
      </c>
      <c r="AA33" s="112">
        <f>VLOOKUP(Z33,'WRK COMP'!$A$1:$E$17,5,FALSE)</f>
        <v>1.0169999999999999E-3</v>
      </c>
      <c r="AB33" s="76" t="s">
        <v>13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10" t="s">
        <v>49</v>
      </c>
      <c r="AK33" s="10" t="s">
        <v>49</v>
      </c>
      <c r="AL33" s="10" t="s">
        <v>49</v>
      </c>
      <c r="AM33" s="78">
        <f>IF(F33&gt;0.79,IF(ROUNDUP(IF(B33="FS",(V33*HRS!$B$9),(V33*HRS!$L$2))*2,-3)&gt;150000,150000,(ROUNDUP(IF(B33="FS",(V33*HRS!$B$9),(V33*HRS!$L$2))*2,-3))),0)</f>
        <v>0</v>
      </c>
      <c r="AN33" s="188">
        <f>SUM(AO33:BB33)</f>
        <v>0</v>
      </c>
      <c r="AO33" s="77">
        <f>IF(L33="N",IF(B33="FS",ROUNDUP($V33*HRS!$B$9*'Position Control'!F33,0),ROUNDUP('Position Control'!$V33*HRS!$L$2*'Position Control'!F33,0)),IF('Position Control'!B33="FS",ROUNDUP(('Position Control'!V33*HRS!$B$9*'Position Control'!W33*'Position Control'!F33)+('Position Control'!X33*HRS!$B$9*'Position Control'!Y33*'Position Control'!F33),0),ROUNDUP(('Position Control'!V33*HRS!$L$2*'Position Control'!W33*'Position Control'!F33)+('Position Control'!X33*HRS!$L$2*'Position Control'!Y33*'Position Control'!F33),0)))*'Position Control'!H33</f>
        <v>0</v>
      </c>
      <c r="AP33" s="77">
        <f>ROUNDUP(52*AC33,0)*H33</f>
        <v>0</v>
      </c>
      <c r="AQ33" s="77">
        <f>IF(B33="FS",ROUNDUP(24*AD33,0),IF(B33="POL",ROUNDUP(26*AD33,0),ROUNDUP(52*AD33,0)))*$H33</f>
        <v>0</v>
      </c>
      <c r="AR33" s="77">
        <f>IF(B33="FS",ROUNDUP(AG33*24,0),ROUNDUP(52*AG33,0))*H33</f>
        <v>0</v>
      </c>
      <c r="AS33" s="77">
        <v>0</v>
      </c>
      <c r="AT33" s="79">
        <f>ROUNDUP(26*AF33,0)*H33</f>
        <v>0</v>
      </c>
      <c r="AU33" s="77">
        <f>IF(B33="FS",ROUNDUP(24*AH33,0),IF(B33="POL",ROUNDUP(26*AH33,0),ROUNDUP(48*AH33,0)))*$H33</f>
        <v>0</v>
      </c>
      <c r="AV33" s="77">
        <v>0</v>
      </c>
      <c r="AW33" s="77">
        <f>IF(B33="FS",ROUNDUP(24*AE33,0),IF(B33="POL",ROUNDUP(26*AE33,0),ROUNDUP(52*AE33,0)))*$H33</f>
        <v>0</v>
      </c>
      <c r="AX33" s="77">
        <f>IF(AND(Q33&lt;20220401,A33&lt;&gt;"SP"),($AX$3*(AO33+BE33)),0)</f>
        <v>0</v>
      </c>
      <c r="AY33" s="77">
        <f>IF(AND($L33="N",$Q33&lt;20220401,$A33&lt;&gt;"SP",$AO33&lt;100000),($AY$3*($AO33+$BE33)),0)</f>
        <v>0</v>
      </c>
      <c r="AZ33" s="77">
        <f>IF(AND($L33="N",$Q33&lt;20220401,$A33&lt;&gt;"SP",$AO33&gt;100000),($AZ$3*($AO33+$BE33)),0)</f>
        <v>0</v>
      </c>
      <c r="BA33" s="77">
        <f>IF(AND($L33="N",$Q33&lt;20220401,$A33&lt;&gt;"SP"),($BA$3*($AO33+$BE33)),0)</f>
        <v>0</v>
      </c>
      <c r="BB33" s="77">
        <f>IF(AND($L33="Y",$Q33&lt;20220401,$A33&lt;&gt;"SP"),($BB$3*($AO33+$BE33)),0)</f>
        <v>0</v>
      </c>
      <c r="BC33" s="77">
        <f t="shared" ref="BC33:BC65" si="30">SUM(AX33:BB33)</f>
        <v>0</v>
      </c>
      <c r="BD33" s="77">
        <f>IF($S33&gt;=12,IF(($S33*5)&gt;1200,1200,$S33*5),0)*$H33</f>
        <v>0</v>
      </c>
      <c r="BE33" s="77">
        <f>'DIVISION BUDGETS'!D13</f>
        <v>500</v>
      </c>
      <c r="BF33" s="77">
        <f>$AM33*$BF$3*12*$H33</f>
        <v>0</v>
      </c>
      <c r="BG33" s="77">
        <f>VLOOKUP($AJ33,BENE!$I$2:$N$9,6,FALSE)*'Position Control'!$H33</f>
        <v>0</v>
      </c>
      <c r="BH33" s="77">
        <f>VLOOKUP($AK33,BENE!$A$2:$F$19,6,FALSE)*'Position Control'!$H33</f>
        <v>0</v>
      </c>
      <c r="BI33" s="77">
        <f>VLOOKUP($AK33,BENE!$A$2:$G$19,7,FALSE)*'Position Control'!$H33</f>
        <v>0</v>
      </c>
      <c r="BJ33" s="77">
        <f>VLOOKUP($AL33,BENE!$P$2:$S$6,4,FALSE)*'Position Control'!$H33</f>
        <v>0</v>
      </c>
      <c r="BK33" s="77">
        <f>IF($F33&gt;HRS!$H$2,ROUNDUP(((($AN33+$BE33)*$BK$3)/12*9)+(($AN33+$BE33)*HRS!$B$10/12*3),0),0)*$H33</f>
        <v>85</v>
      </c>
      <c r="BL33" s="80">
        <f>ROUNDUP($AN33*$AA33,0)*$H33</f>
        <v>0</v>
      </c>
      <c r="BM33" s="77">
        <f>ROUNDUP(IF($AN33&gt;9000,$BM$3*9000,$BM$3*$AN33),0)*$H33</f>
        <v>0</v>
      </c>
      <c r="BN33" s="77">
        <f>IF($AB33="Y",ROUNDUP($AN33*$BN$3,0),0)*$H33</f>
        <v>0</v>
      </c>
      <c r="BO33" s="77">
        <f>IF($A33&lt;&gt;"SP",ROUND($BO$3*$AN33,0)*$H33,0)</f>
        <v>0</v>
      </c>
      <c r="BP33" s="77">
        <f>IF($T33&gt;24,2000,IF($T33&gt;19,1750,IF($T33&gt;14,1500,IF($T33&gt;9.9999999999999,1000,0))))*$H33</f>
        <v>0</v>
      </c>
      <c r="BQ33" s="77">
        <v>0</v>
      </c>
      <c r="BR33" s="80">
        <f>SUM(AO33:AW33)+SUM(BC33:BQ33)</f>
        <v>585</v>
      </c>
    </row>
    <row r="34" spans="1:70" s="171" customFormat="1" x14ac:dyDescent="0.35">
      <c r="A34" s="161"/>
      <c r="B34" s="161"/>
      <c r="C34" s="161"/>
      <c r="D34" s="161"/>
      <c r="E34" s="161"/>
      <c r="F34" s="162"/>
      <c r="G34" s="163">
        <f>SUBTOTAL(9,G31:G33)</f>
        <v>1.5</v>
      </c>
      <c r="H34" s="163"/>
      <c r="I34" s="161" t="s">
        <v>554</v>
      </c>
      <c r="J34" s="161"/>
      <c r="K34" s="161"/>
      <c r="L34" s="164"/>
      <c r="M34" s="161"/>
      <c r="N34" s="161"/>
      <c r="O34" s="161"/>
      <c r="P34" s="161"/>
      <c r="Q34" s="186"/>
      <c r="R34" s="200"/>
      <c r="S34" s="208"/>
      <c r="T34" s="163"/>
      <c r="U34" s="161"/>
      <c r="V34" s="165"/>
      <c r="W34" s="166"/>
      <c r="X34" s="165"/>
      <c r="Y34" s="166"/>
      <c r="Z34" s="161"/>
      <c r="AA34" s="167"/>
      <c r="AB34" s="164"/>
      <c r="AC34" s="168"/>
      <c r="AD34" s="168"/>
      <c r="AE34" s="168"/>
      <c r="AF34" s="168"/>
      <c r="AG34" s="168"/>
      <c r="AH34" s="168"/>
      <c r="AI34" s="168"/>
      <c r="AJ34" s="161"/>
      <c r="AK34" s="161"/>
      <c r="AL34" s="161"/>
      <c r="AM34" s="169"/>
      <c r="AN34" s="189">
        <f>SUBTOTAL(9,AN31:AN33)</f>
        <v>114195.5</v>
      </c>
      <c r="AO34" s="170">
        <f>SUBTOTAL(9,AO31:AO33)</f>
        <v>114195.5</v>
      </c>
      <c r="AP34" s="170">
        <f t="shared" ref="AP34:BR34" si="31">SUBTOTAL(9,AP31:AP33)</f>
        <v>0</v>
      </c>
      <c r="AQ34" s="170">
        <f t="shared" si="31"/>
        <v>0</v>
      </c>
      <c r="AR34" s="170">
        <f t="shared" si="31"/>
        <v>0</v>
      </c>
      <c r="AS34" s="170">
        <f t="shared" si="31"/>
        <v>0</v>
      </c>
      <c r="AT34" s="170">
        <f t="shared" si="31"/>
        <v>0</v>
      </c>
      <c r="AU34" s="170">
        <f t="shared" si="31"/>
        <v>0</v>
      </c>
      <c r="AV34" s="170">
        <f t="shared" si="31"/>
        <v>0</v>
      </c>
      <c r="AW34" s="170">
        <f t="shared" si="31"/>
        <v>0</v>
      </c>
      <c r="AX34" s="170">
        <f t="shared" si="31"/>
        <v>0</v>
      </c>
      <c r="AY34" s="170">
        <f t="shared" si="31"/>
        <v>0</v>
      </c>
      <c r="AZ34" s="170">
        <f t="shared" si="31"/>
        <v>0</v>
      </c>
      <c r="BA34" s="170">
        <f t="shared" si="31"/>
        <v>0</v>
      </c>
      <c r="BB34" s="170">
        <f t="shared" si="31"/>
        <v>0</v>
      </c>
      <c r="BC34" s="170">
        <f t="shared" si="31"/>
        <v>0</v>
      </c>
      <c r="BD34" s="170">
        <f t="shared" si="31"/>
        <v>35</v>
      </c>
      <c r="BE34" s="170">
        <f t="shared" si="31"/>
        <v>500</v>
      </c>
      <c r="BF34" s="170">
        <f t="shared" si="31"/>
        <v>222</v>
      </c>
      <c r="BG34" s="170">
        <f t="shared" si="31"/>
        <v>466</v>
      </c>
      <c r="BH34" s="170">
        <f t="shared" si="31"/>
        <v>9213</v>
      </c>
      <c r="BI34" s="170">
        <f t="shared" si="31"/>
        <v>1500</v>
      </c>
      <c r="BJ34" s="170">
        <f t="shared" si="31"/>
        <v>360</v>
      </c>
      <c r="BK34" s="170">
        <f t="shared" si="31"/>
        <v>14324.5</v>
      </c>
      <c r="BL34" s="170">
        <f t="shared" si="31"/>
        <v>86.5</v>
      </c>
      <c r="BM34" s="170">
        <f t="shared" si="31"/>
        <v>216</v>
      </c>
      <c r="BN34" s="170">
        <f t="shared" si="31"/>
        <v>1225.5</v>
      </c>
      <c r="BO34" s="170">
        <f t="shared" si="31"/>
        <v>151.5</v>
      </c>
      <c r="BP34" s="170">
        <f t="shared" si="31"/>
        <v>0</v>
      </c>
      <c r="BQ34" s="170">
        <f t="shared" si="31"/>
        <v>0</v>
      </c>
      <c r="BR34" s="170">
        <f t="shared" si="31"/>
        <v>142495.5</v>
      </c>
    </row>
    <row r="35" spans="1:70" s="9" customFormat="1" outlineLevel="1" x14ac:dyDescent="0.35">
      <c r="A35" s="10" t="s">
        <v>6</v>
      </c>
      <c r="B35" s="10" t="s">
        <v>7</v>
      </c>
      <c r="C35" s="10" t="s">
        <v>8</v>
      </c>
      <c r="D35" s="10" t="s">
        <v>56</v>
      </c>
      <c r="E35" s="10" t="s">
        <v>59</v>
      </c>
      <c r="F35" s="180">
        <v>1</v>
      </c>
      <c r="G35" s="181">
        <v>1</v>
      </c>
      <c r="H35" s="181">
        <v>1</v>
      </c>
      <c r="I35" s="10" t="s">
        <v>411</v>
      </c>
      <c r="J35" s="10" t="s">
        <v>408</v>
      </c>
      <c r="K35" s="10" t="s">
        <v>569</v>
      </c>
      <c r="L35" s="76" t="str">
        <f>IF(M35="","N",STEP!$J$22)</f>
        <v>N</v>
      </c>
      <c r="M35" s="10"/>
      <c r="N35" s="10"/>
      <c r="O35" s="10"/>
      <c r="P35" s="10"/>
      <c r="Q35" s="185">
        <v>20221002</v>
      </c>
      <c r="R35" s="196">
        <v>44836</v>
      </c>
      <c r="S35" s="197">
        <f t="shared" ref="S35:S45" si="32">IF(A35="FT",IF(R35&gt;$S$1,0,(DATEDIF(R35,$S$1,"M"))),0)</f>
        <v>0</v>
      </c>
      <c r="T35" s="66">
        <f t="shared" ref="T35:T45" si="33">ROUNDDOWN(IF(A35="FT",DATEDIF(R35,$T$1,"y"),0),0)</f>
        <v>0</v>
      </c>
      <c r="U35" s="10"/>
      <c r="V35" s="182">
        <v>23.858699999999999</v>
      </c>
      <c r="W35" s="74"/>
      <c r="X35" s="182"/>
      <c r="Y35" s="74"/>
      <c r="Z35" s="1">
        <v>5506</v>
      </c>
      <c r="AA35" s="112">
        <f>VLOOKUP(Z35,'WRK COMP'!$A$1:$E$17,5,FALSE)</f>
        <v>1.8898000000000002E-2</v>
      </c>
      <c r="AB35" s="76" t="s">
        <v>13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10" t="s">
        <v>14</v>
      </c>
      <c r="AK35" s="10" t="s">
        <v>15</v>
      </c>
      <c r="AL35" s="10" t="s">
        <v>16</v>
      </c>
      <c r="AM35" s="78">
        <f>IF(F35&gt;0.79,IF(ROUNDUP(IF(B35="FS",(V35*HRS!$B$9),(V35*HRS!$L$2))*2,-3)&gt;150000,150000,(ROUNDUP(IF(B35="FS",(V35*HRS!$B$9),(V35*HRS!$L$2))*2,-3))),0)</f>
        <v>100000</v>
      </c>
      <c r="AN35" s="188">
        <f t="shared" ref="AN35:AN45" si="34">SUM(AO35:BB35)</f>
        <v>49627</v>
      </c>
      <c r="AO35" s="77">
        <f>IF(L35="N",IF(B35="FS",ROUNDUP($V35*HRS!$B$9*'Position Control'!F35,0),ROUNDUP('Position Control'!$V35*HRS!$L$2*'Position Control'!F35,0)),IF('Position Control'!B35="FS",ROUNDUP(('Position Control'!V35*HRS!$B$9*'Position Control'!W35*'Position Control'!F35)+('Position Control'!X35*HRS!$B$9*'Position Control'!Y35*'Position Control'!F35),0),ROUNDUP(('Position Control'!V35*HRS!$L$2*'Position Control'!W35*'Position Control'!F35)+('Position Control'!X35*HRS!$L$2*'Position Control'!Y35*'Position Control'!F35),0)))*'Position Control'!H35</f>
        <v>49627</v>
      </c>
      <c r="AP35" s="77">
        <f t="shared" ref="AP35:AP45" si="35">ROUNDUP(52*AC35,0)*H35</f>
        <v>0</v>
      </c>
      <c r="AQ35" s="77">
        <f t="shared" ref="AQ35:AQ45" si="36">IF(B35="FS",ROUNDUP(24*AD35,0),IF(B35="POL",ROUNDUP(26*AD35,0),ROUNDUP(52*AD35,0)))*$H35</f>
        <v>0</v>
      </c>
      <c r="AR35" s="77">
        <f t="shared" ref="AR35:AR45" si="37">IF(B35="FS",ROUNDUP(AG35*24,0),ROUNDUP(52*AG35,0))*H35</f>
        <v>0</v>
      </c>
      <c r="AS35" s="77">
        <v>0</v>
      </c>
      <c r="AT35" s="79">
        <f t="shared" ref="AT35:AT45" si="38">ROUNDUP(26*AF35,0)*H35</f>
        <v>0</v>
      </c>
      <c r="AU35" s="77">
        <f t="shared" ref="AU35:AU45" si="39">IF(B35="FS",ROUNDUP(24*AH35,0),IF(B35="POL",ROUNDUP(26*AH35,0),ROUNDUP(48*AH35,0)))*$H35</f>
        <v>0</v>
      </c>
      <c r="AV35" s="77">
        <v>0</v>
      </c>
      <c r="AW35" s="77">
        <f t="shared" ref="AW35:AW45" si="40">IF(B35="FS",ROUNDUP(24*AE35,0),IF(B35="POL",ROUNDUP(26*AE35,0),ROUNDUP(52*AE35,0)))*$H35</f>
        <v>0</v>
      </c>
      <c r="AX35" s="77">
        <f t="shared" ref="AX35:AX45" si="41">IF(AND(Q35&lt;20220401,A35&lt;&gt;"SP"),($AX$3*(AO35+BE35)),0)</f>
        <v>0</v>
      </c>
      <c r="AY35" s="77">
        <f t="shared" ref="AY35:AY45" si="42">IF(AND($L35="N",$Q35&lt;20220401,$A35&lt;&gt;"SP",$AO35&lt;100000),($AY$3*($AO35+$BE35)),0)</f>
        <v>0</v>
      </c>
      <c r="AZ35" s="77">
        <f t="shared" ref="AZ35:AZ45" si="43">IF(AND($L35="N",$Q35&lt;20220401,$A35&lt;&gt;"SP",$AO35&gt;100000),($AZ$3*($AO35+$BE35)),0)</f>
        <v>0</v>
      </c>
      <c r="BA35" s="77">
        <f t="shared" ref="BA35:BA45" si="44">IF(AND($L35="N",$Q35&lt;20220401,$A35&lt;&gt;"SP"),($BA$3*($AO35+$BE35)),0)</f>
        <v>0</v>
      </c>
      <c r="BB35" s="77">
        <f t="shared" ref="BB35:BB45" si="45">IF(AND($L35="Y",$Q35&lt;20220401,$A35&lt;&gt;"SP"),($BB$3*($AO35+$BE35)),0)</f>
        <v>0</v>
      </c>
      <c r="BC35" s="77">
        <f t="shared" si="30"/>
        <v>0</v>
      </c>
      <c r="BD35" s="77">
        <f t="shared" ref="BD35:BD45" si="46">IF($S35&gt;=12,IF(($S35*5)&gt;1200,1200,$S35*5),0)*$H35</f>
        <v>0</v>
      </c>
      <c r="BE35" s="77">
        <v>0</v>
      </c>
      <c r="BF35" s="77">
        <f t="shared" ref="BF35:BF45" si="47">$AM35*$BF$3*12*$H35</f>
        <v>120</v>
      </c>
      <c r="BG35" s="77">
        <f>VLOOKUP($AJ35,BENE!$I$2:$N$9,6,FALSE)*'Position Control'!$H35</f>
        <v>389</v>
      </c>
      <c r="BH35" s="77">
        <f>VLOOKUP($AK35,BENE!$A$2:$F$19,6,FALSE)*'Position Control'!$H35</f>
        <v>6142</v>
      </c>
      <c r="BI35" s="77">
        <f>VLOOKUP($AK35,BENE!$A$2:$G$19,7,FALSE)*'Position Control'!$H35</f>
        <v>1000</v>
      </c>
      <c r="BJ35" s="77">
        <f>VLOOKUP($AL35,BENE!$P$2:$S$6,4,FALSE)*'Position Control'!$H35</f>
        <v>240</v>
      </c>
      <c r="BK35" s="77">
        <f>IF($F35&gt;HRS!$H$2,ROUNDUP(((($AN35+$BE35)*$BK$3)/12*9)+(($AN35+$BE35)*HRS!$B$10/12*3),0),0)*$H35</f>
        <v>8368</v>
      </c>
      <c r="BL35" s="80">
        <f t="shared" ref="BL35:BL45" si="48">ROUNDUP($AN35*$AA35,0)*$H35</f>
        <v>938</v>
      </c>
      <c r="BM35" s="77">
        <f t="shared" ref="BM35:BM45" si="49">ROUNDUP(IF($AN35&gt;9000,$BM$3*9000,$BM$3*$AN35),0)*$H35</f>
        <v>144</v>
      </c>
      <c r="BN35" s="77">
        <f t="shared" ref="BN35:BN45" si="50">IF($AB35="Y",ROUNDUP($AN35*$BN$3,0),0)*$H35</f>
        <v>720</v>
      </c>
      <c r="BO35" s="77">
        <f t="shared" ref="BO35:BO45" si="51">IF($A35&lt;&gt;"SP",ROUND($BO$3*$AN35,0)*$H35,0)</f>
        <v>89</v>
      </c>
      <c r="BP35" s="77">
        <f t="shared" ref="BP35:BP45" si="52">IF($T35&gt;24,2000,IF($T35&gt;19,1750,IF($T35&gt;14,1500,IF($T35&gt;9.9999999999999,1000,0))))*$H35</f>
        <v>0</v>
      </c>
      <c r="BQ35" s="77">
        <v>0</v>
      </c>
      <c r="BR35" s="80">
        <f t="shared" ref="BR35:BR45" si="53">SUM(AO35:AW35)+SUM(BC35:BQ35)</f>
        <v>67777</v>
      </c>
    </row>
    <row r="36" spans="1:70" s="9" customFormat="1" outlineLevel="1" x14ac:dyDescent="0.35">
      <c r="A36" s="10" t="s">
        <v>6</v>
      </c>
      <c r="B36" s="10" t="s">
        <v>7</v>
      </c>
      <c r="C36" s="10" t="s">
        <v>8</v>
      </c>
      <c r="D36" s="10" t="s">
        <v>56</v>
      </c>
      <c r="E36" s="10" t="s">
        <v>59</v>
      </c>
      <c r="F36" s="180">
        <v>1</v>
      </c>
      <c r="G36" s="181">
        <v>1</v>
      </c>
      <c r="H36" s="181">
        <v>1</v>
      </c>
      <c r="I36" s="10" t="s">
        <v>411</v>
      </c>
      <c r="J36" s="10" t="s">
        <v>408</v>
      </c>
      <c r="K36" s="10" t="s">
        <v>570</v>
      </c>
      <c r="L36" s="76" t="str">
        <f>IF(M36="","N",STEP!$J$22)</f>
        <v>N</v>
      </c>
      <c r="M36" s="10"/>
      <c r="N36" s="10"/>
      <c r="O36" s="10"/>
      <c r="P36" s="10"/>
      <c r="Q36" s="185">
        <v>20221002</v>
      </c>
      <c r="R36" s="196">
        <v>44836</v>
      </c>
      <c r="S36" s="197">
        <f t="shared" si="32"/>
        <v>0</v>
      </c>
      <c r="T36" s="66">
        <f t="shared" si="33"/>
        <v>0</v>
      </c>
      <c r="U36" s="10"/>
      <c r="V36" s="182">
        <v>18.6938</v>
      </c>
      <c r="W36" s="74"/>
      <c r="X36" s="182"/>
      <c r="Y36" s="74"/>
      <c r="Z36" s="1">
        <v>5506</v>
      </c>
      <c r="AA36" s="112">
        <f>VLOOKUP(Z36,'WRK COMP'!$A$1:$E$17,5,FALSE)</f>
        <v>1.8898000000000002E-2</v>
      </c>
      <c r="AB36" s="76" t="s">
        <v>13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10" t="s">
        <v>14</v>
      </c>
      <c r="AK36" s="10" t="s">
        <v>15</v>
      </c>
      <c r="AL36" s="10" t="s">
        <v>16</v>
      </c>
      <c r="AM36" s="78">
        <f>IF(F36&gt;0.79,IF(ROUNDUP(IF(B36="FS",(V36*HRS!$B$9),(V36*HRS!$L$2))*2,-3)&gt;150000,150000,(ROUNDUP(IF(B36="FS",(V36*HRS!$B$9),(V36*HRS!$L$2))*2,-3))),0)</f>
        <v>78000</v>
      </c>
      <c r="AN36" s="188">
        <f t="shared" si="34"/>
        <v>38884</v>
      </c>
      <c r="AO36" s="77">
        <f>IF(L36="N",IF(B36="FS",ROUNDUP($V36*HRS!$B$9*'Position Control'!F36,0),ROUNDUP('Position Control'!$V36*HRS!$L$2*'Position Control'!F36,0)),IF('Position Control'!B36="FS",ROUNDUP(('Position Control'!V36*HRS!$B$9*'Position Control'!W36*'Position Control'!F36)+('Position Control'!X36*HRS!$B$9*'Position Control'!Y36*'Position Control'!F36),0),ROUNDUP(('Position Control'!V36*HRS!$L$2*'Position Control'!W36*'Position Control'!F36)+('Position Control'!X36*HRS!$L$2*'Position Control'!Y36*'Position Control'!F36),0)))*'Position Control'!H36</f>
        <v>38884</v>
      </c>
      <c r="AP36" s="77">
        <f t="shared" si="35"/>
        <v>0</v>
      </c>
      <c r="AQ36" s="77">
        <f t="shared" si="36"/>
        <v>0</v>
      </c>
      <c r="AR36" s="77">
        <f t="shared" si="37"/>
        <v>0</v>
      </c>
      <c r="AS36" s="77">
        <v>0</v>
      </c>
      <c r="AT36" s="79">
        <f t="shared" si="38"/>
        <v>0</v>
      </c>
      <c r="AU36" s="77">
        <f t="shared" si="39"/>
        <v>0</v>
      </c>
      <c r="AV36" s="77">
        <v>0</v>
      </c>
      <c r="AW36" s="77">
        <f t="shared" si="40"/>
        <v>0</v>
      </c>
      <c r="AX36" s="77">
        <f t="shared" si="41"/>
        <v>0</v>
      </c>
      <c r="AY36" s="77">
        <f t="shared" si="42"/>
        <v>0</v>
      </c>
      <c r="AZ36" s="77">
        <f t="shared" si="43"/>
        <v>0</v>
      </c>
      <c r="BA36" s="77">
        <f t="shared" si="44"/>
        <v>0</v>
      </c>
      <c r="BB36" s="77">
        <f t="shared" si="45"/>
        <v>0</v>
      </c>
      <c r="BC36" s="77">
        <f t="shared" si="30"/>
        <v>0</v>
      </c>
      <c r="BD36" s="77">
        <f t="shared" si="46"/>
        <v>0</v>
      </c>
      <c r="BE36" s="77">
        <v>0</v>
      </c>
      <c r="BF36" s="77">
        <f t="shared" si="47"/>
        <v>93.600000000000009</v>
      </c>
      <c r="BG36" s="77">
        <f>VLOOKUP($AJ36,BENE!$I$2:$N$9,6,FALSE)*'Position Control'!$H36</f>
        <v>389</v>
      </c>
      <c r="BH36" s="77">
        <f>VLOOKUP($AK36,BENE!$A$2:$F$19,6,FALSE)*'Position Control'!$H36</f>
        <v>6142</v>
      </c>
      <c r="BI36" s="77">
        <f>VLOOKUP($AK36,BENE!$A$2:$G$19,7,FALSE)*'Position Control'!$H36</f>
        <v>1000</v>
      </c>
      <c r="BJ36" s="77">
        <f>VLOOKUP($AL36,BENE!$P$2:$S$6,4,FALSE)*'Position Control'!$H36</f>
        <v>240</v>
      </c>
      <c r="BK36" s="77">
        <f>IF($F36&gt;HRS!$H$2,ROUNDUP(((($AN36+$BE36)*$BK$3)/12*9)+(($AN36+$BE36)*HRS!$B$10/12*3),0),0)*$H36</f>
        <v>6556</v>
      </c>
      <c r="BL36" s="80">
        <f t="shared" si="48"/>
        <v>735</v>
      </c>
      <c r="BM36" s="77">
        <f t="shared" si="49"/>
        <v>144</v>
      </c>
      <c r="BN36" s="77">
        <f t="shared" si="50"/>
        <v>564</v>
      </c>
      <c r="BO36" s="77">
        <f t="shared" si="51"/>
        <v>70</v>
      </c>
      <c r="BP36" s="77">
        <f t="shared" si="52"/>
        <v>0</v>
      </c>
      <c r="BQ36" s="77">
        <v>0</v>
      </c>
      <c r="BR36" s="80">
        <f t="shared" si="53"/>
        <v>54817.599999999999</v>
      </c>
    </row>
    <row r="37" spans="1:70" outlineLevel="1" x14ac:dyDescent="0.35">
      <c r="A37" s="1" t="s">
        <v>6</v>
      </c>
      <c r="B37" s="1" t="s">
        <v>7</v>
      </c>
      <c r="C37" s="1" t="s">
        <v>8</v>
      </c>
      <c r="D37" s="1" t="s">
        <v>56</v>
      </c>
      <c r="E37" s="1" t="s">
        <v>59</v>
      </c>
      <c r="F37" s="2">
        <v>1</v>
      </c>
      <c r="G37" s="66">
        <v>1</v>
      </c>
      <c r="H37" s="66">
        <v>1</v>
      </c>
      <c r="I37" s="1" t="s">
        <v>611</v>
      </c>
      <c r="J37" s="1" t="s">
        <v>612</v>
      </c>
      <c r="K37" s="1" t="s">
        <v>60</v>
      </c>
      <c r="L37" s="76" t="str">
        <f>IF(M37="","N",STEP!$J$22)</f>
        <v>N</v>
      </c>
      <c r="M37" s="1" t="s">
        <v>11</v>
      </c>
      <c r="N37" s="1" t="s">
        <v>11</v>
      </c>
      <c r="O37" s="1" t="s">
        <v>11</v>
      </c>
      <c r="P37" s="1"/>
      <c r="Q37" s="185">
        <v>20190515</v>
      </c>
      <c r="R37" s="196">
        <v>43600</v>
      </c>
      <c r="S37" s="197">
        <f t="shared" si="32"/>
        <v>40</v>
      </c>
      <c r="T37" s="66">
        <f t="shared" si="33"/>
        <v>4</v>
      </c>
      <c r="U37" s="1" t="s">
        <v>12</v>
      </c>
      <c r="V37" s="70">
        <v>24.335799999999999</v>
      </c>
      <c r="W37" s="74"/>
      <c r="X37" s="70"/>
      <c r="Y37" s="74"/>
      <c r="Z37" s="1">
        <v>5506</v>
      </c>
      <c r="AA37" s="112">
        <f>VLOOKUP(Z37,'WRK COMP'!$A$1:$E$17,5,FALSE)</f>
        <v>1.8898000000000002E-2</v>
      </c>
      <c r="AB37" s="76" t="s">
        <v>13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1" t="s">
        <v>28</v>
      </c>
      <c r="AK37" s="1" t="s">
        <v>43</v>
      </c>
      <c r="AL37" s="10" t="s">
        <v>49</v>
      </c>
      <c r="AM37" s="78">
        <f>IF(F37&gt;0.79,IF(ROUNDUP(IF(B37="FS",(V37*HRS!$B$9),(V37*HRS!$L$2))*2,-3)&gt;150000,150000,(ROUNDUP(IF(B37="FS",(V37*HRS!$B$9),(V37*HRS!$L$2))*2,-3))),0)</f>
        <v>102000</v>
      </c>
      <c r="AN37" s="188">
        <f t="shared" si="34"/>
        <v>50619</v>
      </c>
      <c r="AO37" s="77">
        <f>IF(L37="N",IF(B37="FS",ROUNDUP($V37*HRS!$B$9*'Position Control'!F37,0),ROUNDUP('Position Control'!$V37*HRS!$L$2*'Position Control'!F37,0)),IF('Position Control'!B37="FS",ROUNDUP(('Position Control'!V37*HRS!$B$9*'Position Control'!W37*'Position Control'!F37)+('Position Control'!X37*HRS!$B$9*'Position Control'!Y37*'Position Control'!F37),0),ROUNDUP(('Position Control'!V37*HRS!$L$2*'Position Control'!W37*'Position Control'!F37)+('Position Control'!X37*HRS!$L$2*'Position Control'!Y37*'Position Control'!F37),0)))*'Position Control'!H37</f>
        <v>50619</v>
      </c>
      <c r="AP37" s="77">
        <f t="shared" si="35"/>
        <v>0</v>
      </c>
      <c r="AQ37" s="77">
        <f t="shared" si="36"/>
        <v>0</v>
      </c>
      <c r="AR37" s="77">
        <f t="shared" si="37"/>
        <v>0</v>
      </c>
      <c r="AS37" s="77">
        <v>0</v>
      </c>
      <c r="AT37" s="79">
        <f t="shared" si="38"/>
        <v>0</v>
      </c>
      <c r="AU37" s="77">
        <f t="shared" si="39"/>
        <v>0</v>
      </c>
      <c r="AV37" s="77">
        <v>0</v>
      </c>
      <c r="AW37" s="77">
        <f t="shared" si="40"/>
        <v>0</v>
      </c>
      <c r="AX37" s="77">
        <f t="shared" si="41"/>
        <v>0</v>
      </c>
      <c r="AY37" s="77">
        <f t="shared" si="42"/>
        <v>0</v>
      </c>
      <c r="AZ37" s="77">
        <f t="shared" si="43"/>
        <v>0</v>
      </c>
      <c r="BA37" s="77">
        <f t="shared" si="44"/>
        <v>0</v>
      </c>
      <c r="BB37" s="77">
        <f t="shared" si="45"/>
        <v>0</v>
      </c>
      <c r="BC37" s="77">
        <f t="shared" si="30"/>
        <v>0</v>
      </c>
      <c r="BD37" s="77">
        <f t="shared" si="46"/>
        <v>200</v>
      </c>
      <c r="BE37" s="77">
        <v>0</v>
      </c>
      <c r="BF37" s="77">
        <f t="shared" si="47"/>
        <v>122.4</v>
      </c>
      <c r="BG37" s="77">
        <f>VLOOKUP($AJ37,BENE!$I$2:$N$9,6,FALSE)*'Position Control'!$H37</f>
        <v>154</v>
      </c>
      <c r="BH37" s="77">
        <f>VLOOKUP($AK37,BENE!$A$2:$F$19,6,FALSE)*'Position Control'!$H37</f>
        <v>6870</v>
      </c>
      <c r="BI37" s="77">
        <f>VLOOKUP($AK37,BENE!$A$2:$G$19,7,FALSE)*'Position Control'!$H37</f>
        <v>0</v>
      </c>
      <c r="BJ37" s="77">
        <f>VLOOKUP($AL37,BENE!$P$2:$S$6,4,FALSE)*'Position Control'!$H37</f>
        <v>0</v>
      </c>
      <c r="BK37" s="77">
        <f>IF($F37&gt;HRS!$H$2,ROUNDUP(((($AN37+$BE37)*$BK$3)/12*9)+(($AN37+$BE37)*HRS!$B$10/12*3),0),0)*$H37</f>
        <v>8535</v>
      </c>
      <c r="BL37" s="80">
        <f t="shared" si="48"/>
        <v>957</v>
      </c>
      <c r="BM37" s="77">
        <f t="shared" si="49"/>
        <v>144</v>
      </c>
      <c r="BN37" s="77">
        <f t="shared" si="50"/>
        <v>734</v>
      </c>
      <c r="BO37" s="77">
        <f t="shared" si="51"/>
        <v>91</v>
      </c>
      <c r="BP37" s="77">
        <f t="shared" si="52"/>
        <v>0</v>
      </c>
      <c r="BQ37" s="77">
        <v>0</v>
      </c>
      <c r="BR37" s="80">
        <f t="shared" si="53"/>
        <v>68426.399999999994</v>
      </c>
    </row>
    <row r="38" spans="1:70" outlineLevel="1" x14ac:dyDescent="0.35">
      <c r="A38" s="1" t="s">
        <v>6</v>
      </c>
      <c r="B38" s="1" t="s">
        <v>7</v>
      </c>
      <c r="C38" s="1" t="s">
        <v>8</v>
      </c>
      <c r="D38" s="1" t="s">
        <v>56</v>
      </c>
      <c r="E38" s="1" t="s">
        <v>59</v>
      </c>
      <c r="F38" s="2">
        <v>1</v>
      </c>
      <c r="G38" s="66">
        <v>1</v>
      </c>
      <c r="H38" s="66">
        <v>1</v>
      </c>
      <c r="I38" s="1" t="s">
        <v>611</v>
      </c>
      <c r="J38" s="1" t="s">
        <v>612</v>
      </c>
      <c r="K38" s="1" t="s">
        <v>598</v>
      </c>
      <c r="L38" s="76" t="str">
        <f>IF(M38="","N",STEP!$J$22)</f>
        <v>N</v>
      </c>
      <c r="M38" s="1" t="s">
        <v>11</v>
      </c>
      <c r="N38" s="1" t="s">
        <v>11</v>
      </c>
      <c r="O38" s="1" t="s">
        <v>11</v>
      </c>
      <c r="P38" s="1"/>
      <c r="Q38" s="185">
        <v>20061009</v>
      </c>
      <c r="R38" s="196">
        <v>44788</v>
      </c>
      <c r="S38" s="197">
        <f t="shared" si="32"/>
        <v>1</v>
      </c>
      <c r="T38" s="66">
        <f t="shared" si="33"/>
        <v>1</v>
      </c>
      <c r="U38" s="1" t="s">
        <v>12</v>
      </c>
      <c r="V38" s="70">
        <v>21.580200000000001</v>
      </c>
      <c r="W38" s="74"/>
      <c r="X38" s="70"/>
      <c r="Y38" s="74"/>
      <c r="Z38" s="1">
        <v>5506</v>
      </c>
      <c r="AA38" s="112">
        <f>VLOOKUP(Z38,'WRK COMP'!$A$1:$E$17,5,FALSE)</f>
        <v>1.8898000000000002E-2</v>
      </c>
      <c r="AB38" s="76" t="s">
        <v>13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68">
        <v>0</v>
      </c>
      <c r="AJ38" s="1" t="s">
        <v>14</v>
      </c>
      <c r="AK38" s="10" t="s">
        <v>15</v>
      </c>
      <c r="AL38" s="10" t="s">
        <v>16</v>
      </c>
      <c r="AM38" s="78">
        <f>IF(F38&gt;0.79,IF(ROUNDUP(IF(B38="FS",(V38*HRS!$B$9),(V38*HRS!$L$2))*2,-3)&gt;150000,150000,(ROUNDUP(IF(B38="FS",(V38*HRS!$B$9),(V38*HRS!$L$2))*2,-3))),0)</f>
        <v>90000</v>
      </c>
      <c r="AN38" s="188">
        <f t="shared" si="34"/>
        <v>44887</v>
      </c>
      <c r="AO38" s="77">
        <f>IF(L38="N",IF(B38="FS",ROUNDUP($V38*HRS!$B$9*'Position Control'!F38,0),ROUNDUP('Position Control'!$V38*HRS!$L$2*'Position Control'!F38,0)),IF('Position Control'!B38="FS",ROUNDUP(('Position Control'!V38*HRS!$B$9*'Position Control'!W38*'Position Control'!F38)+('Position Control'!X38*HRS!$B$9*'Position Control'!Y38*'Position Control'!F38),0),ROUNDUP(('Position Control'!V38*HRS!$L$2*'Position Control'!W38*'Position Control'!F38)+('Position Control'!X38*HRS!$L$2*'Position Control'!Y38*'Position Control'!F38),0)))*'Position Control'!H38</f>
        <v>44887</v>
      </c>
      <c r="AP38" s="77">
        <f t="shared" si="35"/>
        <v>0</v>
      </c>
      <c r="AQ38" s="77">
        <f t="shared" si="36"/>
        <v>0</v>
      </c>
      <c r="AR38" s="77">
        <f t="shared" si="37"/>
        <v>0</v>
      </c>
      <c r="AS38" s="77">
        <v>0</v>
      </c>
      <c r="AT38" s="79">
        <f t="shared" si="38"/>
        <v>0</v>
      </c>
      <c r="AU38" s="77">
        <f t="shared" si="39"/>
        <v>0</v>
      </c>
      <c r="AV38" s="77">
        <v>0</v>
      </c>
      <c r="AW38" s="77">
        <f t="shared" si="40"/>
        <v>0</v>
      </c>
      <c r="AX38" s="77">
        <f t="shared" si="41"/>
        <v>0</v>
      </c>
      <c r="AY38" s="77">
        <f t="shared" si="42"/>
        <v>0</v>
      </c>
      <c r="AZ38" s="77">
        <f t="shared" si="43"/>
        <v>0</v>
      </c>
      <c r="BA38" s="77">
        <f t="shared" si="44"/>
        <v>0</v>
      </c>
      <c r="BB38" s="77">
        <f t="shared" si="45"/>
        <v>0</v>
      </c>
      <c r="BC38" s="77">
        <f>SUM(AX38:BB38)</f>
        <v>0</v>
      </c>
      <c r="BD38" s="77">
        <f t="shared" si="46"/>
        <v>0</v>
      </c>
      <c r="BE38" s="77">
        <v>0</v>
      </c>
      <c r="BF38" s="77">
        <f t="shared" si="47"/>
        <v>108</v>
      </c>
      <c r="BG38" s="77">
        <f>VLOOKUP($AJ38,BENE!$I$2:$N$9,6,FALSE)*'Position Control'!$H38</f>
        <v>389</v>
      </c>
      <c r="BH38" s="77">
        <f>VLOOKUP($AK38,BENE!$A$2:$F$19,6,FALSE)*'Position Control'!$H38</f>
        <v>6142</v>
      </c>
      <c r="BI38" s="77">
        <f>VLOOKUP($AK38,BENE!$A$2:$G$19,7,FALSE)*'Position Control'!$H38</f>
        <v>1000</v>
      </c>
      <c r="BJ38" s="77">
        <f>VLOOKUP($AL38,BENE!$P$2:$S$6,4,FALSE)*'Position Control'!$H38</f>
        <v>240</v>
      </c>
      <c r="BK38" s="77">
        <f>IF($F38&gt;HRS!$H$2,ROUNDUP(((($AN38+$BE38)*$BK$3)/12*9)+(($AN38+$BE38)*HRS!$B$10/12*3),0),0)*$H38</f>
        <v>7568</v>
      </c>
      <c r="BL38" s="80">
        <f t="shared" si="48"/>
        <v>849</v>
      </c>
      <c r="BM38" s="77">
        <f t="shared" si="49"/>
        <v>144</v>
      </c>
      <c r="BN38" s="77">
        <f t="shared" si="50"/>
        <v>651</v>
      </c>
      <c r="BO38" s="77">
        <f t="shared" si="51"/>
        <v>81</v>
      </c>
      <c r="BP38" s="77">
        <f t="shared" si="52"/>
        <v>0</v>
      </c>
      <c r="BQ38" s="77">
        <v>0</v>
      </c>
      <c r="BR38" s="80">
        <f t="shared" si="53"/>
        <v>62059</v>
      </c>
    </row>
    <row r="39" spans="1:70" outlineLevel="1" x14ac:dyDescent="0.35">
      <c r="A39" s="1" t="s">
        <v>6</v>
      </c>
      <c r="B39" s="1" t="s">
        <v>7</v>
      </c>
      <c r="C39" s="1" t="s">
        <v>8</v>
      </c>
      <c r="D39" s="1" t="s">
        <v>56</v>
      </c>
      <c r="E39" s="1" t="s">
        <v>59</v>
      </c>
      <c r="F39" s="2">
        <v>1</v>
      </c>
      <c r="G39" s="66">
        <v>1</v>
      </c>
      <c r="H39" s="66">
        <v>1</v>
      </c>
      <c r="I39" s="1" t="s">
        <v>611</v>
      </c>
      <c r="J39" s="1" t="s">
        <v>612</v>
      </c>
      <c r="K39" s="1" t="s">
        <v>62</v>
      </c>
      <c r="L39" s="76" t="str">
        <f>IF(M39="","N",STEP!$J$22)</f>
        <v>N</v>
      </c>
      <c r="M39" s="1" t="s">
        <v>11</v>
      </c>
      <c r="N39" s="1" t="s">
        <v>11</v>
      </c>
      <c r="O39" s="1" t="s">
        <v>11</v>
      </c>
      <c r="P39" s="1"/>
      <c r="Q39" s="185">
        <v>20210405</v>
      </c>
      <c r="R39" s="196">
        <v>44291</v>
      </c>
      <c r="S39" s="197">
        <f t="shared" si="32"/>
        <v>17</v>
      </c>
      <c r="T39" s="66">
        <f t="shared" si="33"/>
        <v>2</v>
      </c>
      <c r="U39" s="1" t="s">
        <v>12</v>
      </c>
      <c r="V39" s="70">
        <v>20.610099999999999</v>
      </c>
      <c r="W39" s="74"/>
      <c r="X39" s="70"/>
      <c r="Y39" s="74"/>
      <c r="Z39" s="1">
        <v>5506</v>
      </c>
      <c r="AA39" s="112">
        <f>VLOOKUP(Z39,'WRK COMP'!$A$1:$E$17,5,FALSE)</f>
        <v>1.8898000000000002E-2</v>
      </c>
      <c r="AB39" s="76" t="s">
        <v>13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1" t="s">
        <v>28</v>
      </c>
      <c r="AK39" s="1" t="s">
        <v>15</v>
      </c>
      <c r="AL39" s="1" t="s">
        <v>16</v>
      </c>
      <c r="AM39" s="78">
        <f>IF(F39&gt;0.79,IF(ROUNDUP(IF(B39="FS",(V39*HRS!$B$9),(V39*HRS!$L$2))*2,-3)&gt;150000,150000,(ROUNDUP(IF(B39="FS",(V39*HRS!$B$9),(V39*HRS!$L$2))*2,-3))),0)</f>
        <v>86000</v>
      </c>
      <c r="AN39" s="188">
        <f t="shared" si="34"/>
        <v>42870</v>
      </c>
      <c r="AO39" s="77">
        <f>IF(L39="N",IF(B39="FS",ROUNDUP($V39*HRS!$B$9*'Position Control'!F39,0),ROUNDUP('Position Control'!$V39*HRS!$L$2*'Position Control'!F39,0)),IF('Position Control'!B39="FS",ROUNDUP(('Position Control'!V39*HRS!$B$9*'Position Control'!W39*'Position Control'!F39)+('Position Control'!X39*HRS!$B$9*'Position Control'!Y39*'Position Control'!F39),0),ROUNDUP(('Position Control'!V39*HRS!$L$2*'Position Control'!W39*'Position Control'!F39)+('Position Control'!X39*HRS!$L$2*'Position Control'!Y39*'Position Control'!F39),0)))*'Position Control'!H39</f>
        <v>42870</v>
      </c>
      <c r="AP39" s="77">
        <f t="shared" si="35"/>
        <v>0</v>
      </c>
      <c r="AQ39" s="77">
        <f t="shared" si="36"/>
        <v>0</v>
      </c>
      <c r="AR39" s="77">
        <f t="shared" si="37"/>
        <v>0</v>
      </c>
      <c r="AS39" s="77">
        <v>0</v>
      </c>
      <c r="AT39" s="79">
        <f t="shared" si="38"/>
        <v>0</v>
      </c>
      <c r="AU39" s="77">
        <f t="shared" si="39"/>
        <v>0</v>
      </c>
      <c r="AV39" s="77">
        <v>0</v>
      </c>
      <c r="AW39" s="77">
        <f t="shared" si="40"/>
        <v>0</v>
      </c>
      <c r="AX39" s="77">
        <f t="shared" si="41"/>
        <v>0</v>
      </c>
      <c r="AY39" s="77">
        <f t="shared" si="42"/>
        <v>0</v>
      </c>
      <c r="AZ39" s="77">
        <f t="shared" si="43"/>
        <v>0</v>
      </c>
      <c r="BA39" s="77">
        <f t="shared" si="44"/>
        <v>0</v>
      </c>
      <c r="BB39" s="77">
        <f t="shared" si="45"/>
        <v>0</v>
      </c>
      <c r="BC39" s="77">
        <f t="shared" si="30"/>
        <v>0</v>
      </c>
      <c r="BD39" s="77">
        <f t="shared" si="46"/>
        <v>85</v>
      </c>
      <c r="BE39" s="77">
        <v>0</v>
      </c>
      <c r="BF39" s="77">
        <f t="shared" si="47"/>
        <v>103.19999999999999</v>
      </c>
      <c r="BG39" s="77">
        <f>VLOOKUP($AJ39,BENE!$I$2:$N$9,6,FALSE)*'Position Control'!$H39</f>
        <v>154</v>
      </c>
      <c r="BH39" s="77">
        <f>VLOOKUP($AK39,BENE!$A$2:$F$19,6,FALSE)*'Position Control'!$H39</f>
        <v>6142</v>
      </c>
      <c r="BI39" s="77">
        <f>VLOOKUP($AK39,BENE!$A$2:$G$19,7,FALSE)*'Position Control'!$H39</f>
        <v>1000</v>
      </c>
      <c r="BJ39" s="77">
        <f>VLOOKUP($AL39,BENE!$P$2:$S$6,4,FALSE)*'Position Control'!$H39</f>
        <v>240</v>
      </c>
      <c r="BK39" s="77">
        <f>IF($F39&gt;HRS!$H$2,ROUNDUP(((($AN39+$BE39)*$BK$3)/12*9)+(($AN39+$BE39)*HRS!$B$10/12*3),0),0)*$H39</f>
        <v>7228</v>
      </c>
      <c r="BL39" s="80">
        <f t="shared" si="48"/>
        <v>811</v>
      </c>
      <c r="BM39" s="77">
        <f t="shared" si="49"/>
        <v>144</v>
      </c>
      <c r="BN39" s="77">
        <f t="shared" si="50"/>
        <v>622</v>
      </c>
      <c r="BO39" s="77">
        <f t="shared" si="51"/>
        <v>77</v>
      </c>
      <c r="BP39" s="77">
        <f t="shared" si="52"/>
        <v>0</v>
      </c>
      <c r="BQ39" s="77">
        <v>0</v>
      </c>
      <c r="BR39" s="80">
        <f t="shared" si="53"/>
        <v>59476.2</v>
      </c>
    </row>
    <row r="40" spans="1:70" outlineLevel="1" x14ac:dyDescent="0.35">
      <c r="A40" s="1" t="s">
        <v>6</v>
      </c>
      <c r="B40" s="1" t="s">
        <v>7</v>
      </c>
      <c r="C40" s="1" t="s">
        <v>8</v>
      </c>
      <c r="D40" s="1" t="s">
        <v>56</v>
      </c>
      <c r="E40" s="1" t="s">
        <v>59</v>
      </c>
      <c r="F40" s="2">
        <v>1</v>
      </c>
      <c r="G40" s="66">
        <v>1</v>
      </c>
      <c r="H40" s="66">
        <v>1</v>
      </c>
      <c r="I40" s="10" t="s">
        <v>411</v>
      </c>
      <c r="J40" s="10" t="s">
        <v>408</v>
      </c>
      <c r="K40" s="10" t="s">
        <v>571</v>
      </c>
      <c r="L40" s="76" t="str">
        <f>IF(M40="","N",STEP!$J$22)</f>
        <v>N</v>
      </c>
      <c r="M40" s="1"/>
      <c r="N40" s="1"/>
      <c r="O40" s="1"/>
      <c r="P40" s="1"/>
      <c r="Q40" s="185">
        <v>20221002</v>
      </c>
      <c r="R40" s="196">
        <v>44836</v>
      </c>
      <c r="S40" s="197">
        <f t="shared" si="32"/>
        <v>0</v>
      </c>
      <c r="T40" s="66">
        <f t="shared" si="33"/>
        <v>0</v>
      </c>
      <c r="U40" s="1"/>
      <c r="V40" s="70">
        <v>20.610099999999999</v>
      </c>
      <c r="W40" s="74"/>
      <c r="X40" s="70"/>
      <c r="Y40" s="74"/>
      <c r="Z40" s="1">
        <v>5506</v>
      </c>
      <c r="AA40" s="112">
        <f>VLOOKUP(Z40,'WRK COMP'!$A$1:$E$17,5,FALSE)</f>
        <v>1.8898000000000002E-2</v>
      </c>
      <c r="AB40" s="76" t="s">
        <v>13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10" t="s">
        <v>14</v>
      </c>
      <c r="AK40" s="10" t="s">
        <v>15</v>
      </c>
      <c r="AL40" s="10" t="s">
        <v>16</v>
      </c>
      <c r="AM40" s="78">
        <f>IF(F40&gt;0.79,IF(ROUNDUP(IF(B40="FS",(V40*HRS!$B$9),(V40*HRS!$L$2))*2,-3)&gt;150000,150000,(ROUNDUP(IF(B40="FS",(V40*HRS!$B$9),(V40*HRS!$L$2))*2,-3))),0)</f>
        <v>86000</v>
      </c>
      <c r="AN40" s="188">
        <f t="shared" si="34"/>
        <v>42870</v>
      </c>
      <c r="AO40" s="77">
        <f>IF(L40="N",IF(B40="FS",ROUNDUP($V40*HRS!$B$9*'Position Control'!F40,0),ROUNDUP('Position Control'!$V40*HRS!$L$2*'Position Control'!F40,0)),IF('Position Control'!B40="FS",ROUNDUP(('Position Control'!V40*HRS!$B$9*'Position Control'!W40*'Position Control'!F40)+('Position Control'!X40*HRS!$B$9*'Position Control'!Y40*'Position Control'!F40),0),ROUNDUP(('Position Control'!V40*HRS!$L$2*'Position Control'!W40*'Position Control'!F40)+('Position Control'!X40*HRS!$L$2*'Position Control'!Y40*'Position Control'!F40),0)))*'Position Control'!H40</f>
        <v>42870</v>
      </c>
      <c r="AP40" s="77">
        <f t="shared" si="35"/>
        <v>0</v>
      </c>
      <c r="AQ40" s="77">
        <f t="shared" si="36"/>
        <v>0</v>
      </c>
      <c r="AR40" s="77">
        <f t="shared" si="37"/>
        <v>0</v>
      </c>
      <c r="AS40" s="77">
        <v>0</v>
      </c>
      <c r="AT40" s="79">
        <f t="shared" si="38"/>
        <v>0</v>
      </c>
      <c r="AU40" s="77">
        <f t="shared" si="39"/>
        <v>0</v>
      </c>
      <c r="AV40" s="77">
        <v>0</v>
      </c>
      <c r="AW40" s="77">
        <f t="shared" si="40"/>
        <v>0</v>
      </c>
      <c r="AX40" s="77">
        <f t="shared" si="41"/>
        <v>0</v>
      </c>
      <c r="AY40" s="77">
        <f t="shared" si="42"/>
        <v>0</v>
      </c>
      <c r="AZ40" s="77">
        <f t="shared" si="43"/>
        <v>0</v>
      </c>
      <c r="BA40" s="77">
        <f t="shared" si="44"/>
        <v>0</v>
      </c>
      <c r="BB40" s="77">
        <f t="shared" si="45"/>
        <v>0</v>
      </c>
      <c r="BC40" s="77">
        <f t="shared" si="30"/>
        <v>0</v>
      </c>
      <c r="BD40" s="77">
        <f t="shared" si="46"/>
        <v>0</v>
      </c>
      <c r="BE40" s="77">
        <v>0</v>
      </c>
      <c r="BF40" s="77">
        <f t="shared" si="47"/>
        <v>103.19999999999999</v>
      </c>
      <c r="BG40" s="77">
        <f>VLOOKUP($AJ40,BENE!$I$2:$N$9,6,FALSE)*'Position Control'!$H40</f>
        <v>389</v>
      </c>
      <c r="BH40" s="77">
        <f>VLOOKUP($AK40,BENE!$A$2:$F$19,6,FALSE)*'Position Control'!$H40</f>
        <v>6142</v>
      </c>
      <c r="BI40" s="77">
        <f>VLOOKUP($AK40,BENE!$A$2:$G$19,7,FALSE)*'Position Control'!$H40</f>
        <v>1000</v>
      </c>
      <c r="BJ40" s="77">
        <f>VLOOKUP($AL40,BENE!$P$2:$S$6,4,FALSE)*'Position Control'!$H40</f>
        <v>240</v>
      </c>
      <c r="BK40" s="77">
        <f>IF($F40&gt;HRS!$H$2,ROUNDUP(((($AN40+$BE40)*$BK$3)/12*9)+(($AN40+$BE40)*HRS!$B$10/12*3),0),0)*$H40</f>
        <v>7228</v>
      </c>
      <c r="BL40" s="80">
        <f t="shared" si="48"/>
        <v>811</v>
      </c>
      <c r="BM40" s="77">
        <f t="shared" si="49"/>
        <v>144</v>
      </c>
      <c r="BN40" s="77">
        <f t="shared" si="50"/>
        <v>622</v>
      </c>
      <c r="BO40" s="77">
        <f t="shared" si="51"/>
        <v>77</v>
      </c>
      <c r="BP40" s="77">
        <f t="shared" si="52"/>
        <v>0</v>
      </c>
      <c r="BQ40" s="77">
        <v>0</v>
      </c>
      <c r="BR40" s="80">
        <f t="shared" si="53"/>
        <v>59626.2</v>
      </c>
    </row>
    <row r="41" spans="1:70" outlineLevel="1" x14ac:dyDescent="0.35">
      <c r="A41" s="1" t="s">
        <v>6</v>
      </c>
      <c r="B41" s="1" t="s">
        <v>7</v>
      </c>
      <c r="C41" s="1" t="s">
        <v>8</v>
      </c>
      <c r="D41" s="1" t="s">
        <v>56</v>
      </c>
      <c r="E41" s="1" t="s">
        <v>59</v>
      </c>
      <c r="F41" s="2">
        <v>1</v>
      </c>
      <c r="G41" s="66">
        <v>1</v>
      </c>
      <c r="H41" s="66">
        <v>1</v>
      </c>
      <c r="I41" s="10" t="s">
        <v>411</v>
      </c>
      <c r="J41" s="10" t="s">
        <v>408</v>
      </c>
      <c r="K41" s="10" t="s">
        <v>571</v>
      </c>
      <c r="L41" s="76" t="str">
        <f>IF(M41="","N",STEP!$J$22)</f>
        <v>N</v>
      </c>
      <c r="M41" s="1"/>
      <c r="N41" s="1"/>
      <c r="O41" s="1"/>
      <c r="P41" s="1"/>
      <c r="Q41" s="185">
        <v>20221002</v>
      </c>
      <c r="R41" s="196">
        <v>44836</v>
      </c>
      <c r="S41" s="197">
        <f t="shared" si="32"/>
        <v>0</v>
      </c>
      <c r="T41" s="66">
        <f t="shared" si="33"/>
        <v>0</v>
      </c>
      <c r="U41" s="1"/>
      <c r="V41" s="70">
        <v>22.722100000000001</v>
      </c>
      <c r="W41" s="74"/>
      <c r="X41" s="70"/>
      <c r="Y41" s="74"/>
      <c r="Z41" s="1">
        <v>5506</v>
      </c>
      <c r="AA41" s="112">
        <f>VLOOKUP(Z41,'WRK COMP'!$A$1:$E$17,5,FALSE)</f>
        <v>1.8898000000000002E-2</v>
      </c>
      <c r="AB41" s="76" t="s">
        <v>13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10" t="s">
        <v>14</v>
      </c>
      <c r="AK41" s="10" t="s">
        <v>15</v>
      </c>
      <c r="AL41" s="10" t="s">
        <v>16</v>
      </c>
      <c r="AM41" s="78">
        <f>IF(F41&gt;0.79,IF(ROUNDUP(IF(B41="FS",(V41*HRS!$B$9),(V41*HRS!$L$2))*2,-3)&gt;150000,150000,(ROUNDUP(IF(B41="FS",(V41*HRS!$B$9),(V41*HRS!$L$2))*2,-3))),0)</f>
        <v>95000</v>
      </c>
      <c r="AN41" s="188">
        <f t="shared" si="34"/>
        <v>47262</v>
      </c>
      <c r="AO41" s="77">
        <f>IF(L41="N",IF(B41="FS",ROUNDUP($V41*HRS!$B$9*'Position Control'!F41,0),ROUNDUP('Position Control'!$V41*HRS!$L$2*'Position Control'!F41,0)),IF('Position Control'!B41="FS",ROUNDUP(('Position Control'!V41*HRS!$B$9*'Position Control'!W41*'Position Control'!F41)+('Position Control'!X41*HRS!$B$9*'Position Control'!Y41*'Position Control'!F41),0),ROUNDUP(('Position Control'!V41*HRS!$L$2*'Position Control'!W41*'Position Control'!F41)+('Position Control'!X41*HRS!$L$2*'Position Control'!Y41*'Position Control'!F41),0)))*'Position Control'!H41</f>
        <v>47262</v>
      </c>
      <c r="AP41" s="77">
        <f t="shared" si="35"/>
        <v>0</v>
      </c>
      <c r="AQ41" s="77">
        <f t="shared" si="36"/>
        <v>0</v>
      </c>
      <c r="AR41" s="77">
        <f t="shared" si="37"/>
        <v>0</v>
      </c>
      <c r="AS41" s="77">
        <v>0</v>
      </c>
      <c r="AT41" s="79">
        <f t="shared" si="38"/>
        <v>0</v>
      </c>
      <c r="AU41" s="77">
        <f t="shared" si="39"/>
        <v>0</v>
      </c>
      <c r="AV41" s="77">
        <v>0</v>
      </c>
      <c r="AW41" s="77">
        <f t="shared" si="40"/>
        <v>0</v>
      </c>
      <c r="AX41" s="77">
        <f t="shared" si="41"/>
        <v>0</v>
      </c>
      <c r="AY41" s="77">
        <f t="shared" si="42"/>
        <v>0</v>
      </c>
      <c r="AZ41" s="77">
        <f t="shared" si="43"/>
        <v>0</v>
      </c>
      <c r="BA41" s="77">
        <f t="shared" si="44"/>
        <v>0</v>
      </c>
      <c r="BB41" s="77">
        <f t="shared" si="45"/>
        <v>0</v>
      </c>
      <c r="BC41" s="77">
        <f t="shared" si="30"/>
        <v>0</v>
      </c>
      <c r="BD41" s="77">
        <f t="shared" si="46"/>
        <v>0</v>
      </c>
      <c r="BE41" s="77">
        <v>0</v>
      </c>
      <c r="BF41" s="77">
        <f t="shared" si="47"/>
        <v>114</v>
      </c>
      <c r="BG41" s="77">
        <f>VLOOKUP($AJ41,BENE!$I$2:$N$9,6,FALSE)*'Position Control'!$H41</f>
        <v>389</v>
      </c>
      <c r="BH41" s="77">
        <f>VLOOKUP($AK41,BENE!$A$2:$F$19,6,FALSE)*'Position Control'!$H41</f>
        <v>6142</v>
      </c>
      <c r="BI41" s="77">
        <f>VLOOKUP($AK41,BENE!$A$2:$G$19,7,FALSE)*'Position Control'!$H41</f>
        <v>1000</v>
      </c>
      <c r="BJ41" s="77">
        <f>VLOOKUP($AL41,BENE!$P$2:$S$6,4,FALSE)*'Position Control'!$H41</f>
        <v>240</v>
      </c>
      <c r="BK41" s="77">
        <f>IF($F41&gt;HRS!$H$2,ROUNDUP(((($AN41+$BE41)*$BK$3)/12*9)+(($AN41+$BE41)*HRS!$B$10/12*3),0),0)*$H41</f>
        <v>7969</v>
      </c>
      <c r="BL41" s="80">
        <f t="shared" si="48"/>
        <v>894</v>
      </c>
      <c r="BM41" s="77">
        <f t="shared" si="49"/>
        <v>144</v>
      </c>
      <c r="BN41" s="77">
        <f t="shared" si="50"/>
        <v>686</v>
      </c>
      <c r="BO41" s="77">
        <f t="shared" si="51"/>
        <v>85</v>
      </c>
      <c r="BP41" s="77">
        <f t="shared" si="52"/>
        <v>0</v>
      </c>
      <c r="BQ41" s="77">
        <v>0</v>
      </c>
      <c r="BR41" s="80">
        <f t="shared" si="53"/>
        <v>64925</v>
      </c>
    </row>
    <row r="42" spans="1:70" outlineLevel="1" x14ac:dyDescent="0.35">
      <c r="A42" s="1" t="s">
        <v>6</v>
      </c>
      <c r="B42" s="1" t="s">
        <v>7</v>
      </c>
      <c r="C42" s="1" t="s">
        <v>8</v>
      </c>
      <c r="D42" s="1" t="s">
        <v>56</v>
      </c>
      <c r="E42" s="1" t="s">
        <v>59</v>
      </c>
      <c r="F42" s="2">
        <v>1</v>
      </c>
      <c r="G42" s="66">
        <v>1</v>
      </c>
      <c r="H42" s="66">
        <v>1</v>
      </c>
      <c r="I42" s="10" t="s">
        <v>411</v>
      </c>
      <c r="J42" s="10" t="s">
        <v>408</v>
      </c>
      <c r="K42" s="10" t="s">
        <v>572</v>
      </c>
      <c r="L42" s="76" t="str">
        <f>IF(M42="","N",STEP!$J$22)</f>
        <v>N</v>
      </c>
      <c r="M42" s="1"/>
      <c r="N42" s="1"/>
      <c r="O42" s="1"/>
      <c r="P42" s="1"/>
      <c r="Q42" s="185">
        <v>20221002</v>
      </c>
      <c r="R42" s="196">
        <v>44836</v>
      </c>
      <c r="S42" s="197">
        <f t="shared" si="32"/>
        <v>0</v>
      </c>
      <c r="T42" s="66">
        <f t="shared" si="33"/>
        <v>0</v>
      </c>
      <c r="U42" s="1"/>
      <c r="V42" s="70">
        <v>16.9558</v>
      </c>
      <c r="W42" s="74"/>
      <c r="X42" s="70"/>
      <c r="Y42" s="74"/>
      <c r="Z42" s="1">
        <v>5506</v>
      </c>
      <c r="AA42" s="112">
        <f>VLOOKUP(Z42,'WRK COMP'!$A$1:$E$17,5,FALSE)</f>
        <v>1.8898000000000002E-2</v>
      </c>
      <c r="AB42" s="76" t="s">
        <v>13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10" t="s">
        <v>14</v>
      </c>
      <c r="AK42" s="10" t="s">
        <v>15</v>
      </c>
      <c r="AL42" s="10" t="s">
        <v>16</v>
      </c>
      <c r="AM42" s="78">
        <f>IF(F42&gt;0.79,IF(ROUNDUP(IF(B42="FS",(V42*HRS!$B$9),(V42*HRS!$L$2))*2,-3)&gt;150000,150000,(ROUNDUP(IF(B42="FS",(V42*HRS!$B$9),(V42*HRS!$L$2))*2,-3))),0)</f>
        <v>71000</v>
      </c>
      <c r="AN42" s="188">
        <f t="shared" si="34"/>
        <v>35269</v>
      </c>
      <c r="AO42" s="77">
        <f>IF(L42="N",IF(B42="FS",ROUNDUP($V42*HRS!$B$9*'Position Control'!F42,0),ROUNDUP('Position Control'!$V42*HRS!$L$2*'Position Control'!F42,0)),IF('Position Control'!B42="FS",ROUNDUP(('Position Control'!V42*HRS!$B$9*'Position Control'!W42*'Position Control'!F42)+('Position Control'!X42*HRS!$B$9*'Position Control'!Y42*'Position Control'!F42),0),ROUNDUP(('Position Control'!V42*HRS!$L$2*'Position Control'!W42*'Position Control'!F42)+('Position Control'!X42*HRS!$L$2*'Position Control'!Y42*'Position Control'!F42),0)))*'Position Control'!H42</f>
        <v>35269</v>
      </c>
      <c r="AP42" s="77">
        <f t="shared" si="35"/>
        <v>0</v>
      </c>
      <c r="AQ42" s="77">
        <f t="shared" si="36"/>
        <v>0</v>
      </c>
      <c r="AR42" s="77">
        <f t="shared" si="37"/>
        <v>0</v>
      </c>
      <c r="AS42" s="77">
        <v>0</v>
      </c>
      <c r="AT42" s="79">
        <f t="shared" si="38"/>
        <v>0</v>
      </c>
      <c r="AU42" s="77">
        <f t="shared" si="39"/>
        <v>0</v>
      </c>
      <c r="AV42" s="77">
        <v>0</v>
      </c>
      <c r="AW42" s="77">
        <f t="shared" si="40"/>
        <v>0</v>
      </c>
      <c r="AX42" s="77">
        <f t="shared" si="41"/>
        <v>0</v>
      </c>
      <c r="AY42" s="77">
        <f t="shared" si="42"/>
        <v>0</v>
      </c>
      <c r="AZ42" s="77">
        <f t="shared" si="43"/>
        <v>0</v>
      </c>
      <c r="BA42" s="77">
        <f t="shared" si="44"/>
        <v>0</v>
      </c>
      <c r="BB42" s="77">
        <f t="shared" si="45"/>
        <v>0</v>
      </c>
      <c r="BC42" s="77">
        <f t="shared" si="30"/>
        <v>0</v>
      </c>
      <c r="BD42" s="77">
        <f t="shared" si="46"/>
        <v>0</v>
      </c>
      <c r="BE42" s="77">
        <v>0</v>
      </c>
      <c r="BF42" s="77">
        <f t="shared" si="47"/>
        <v>85.2</v>
      </c>
      <c r="BG42" s="77">
        <f>VLOOKUP($AJ42,BENE!$I$2:$N$9,6,FALSE)*'Position Control'!$H42</f>
        <v>389</v>
      </c>
      <c r="BH42" s="77">
        <f>VLOOKUP($AK42,BENE!$A$2:$F$19,6,FALSE)*'Position Control'!$H42</f>
        <v>6142</v>
      </c>
      <c r="BI42" s="77">
        <f>VLOOKUP($AK42,BENE!$A$2:$G$19,7,FALSE)*'Position Control'!$H42</f>
        <v>1000</v>
      </c>
      <c r="BJ42" s="77">
        <f>VLOOKUP($AL42,BENE!$P$2:$S$6,4,FALSE)*'Position Control'!$H42</f>
        <v>240</v>
      </c>
      <c r="BK42" s="77">
        <f>IF($F42&gt;HRS!$H$2,ROUNDUP(((($AN42+$BE42)*$BK$3)/12*9)+(($AN42+$BE42)*HRS!$B$10/12*3),0),0)*$H42</f>
        <v>5947</v>
      </c>
      <c r="BL42" s="80">
        <f t="shared" si="48"/>
        <v>667</v>
      </c>
      <c r="BM42" s="77">
        <f t="shared" si="49"/>
        <v>144</v>
      </c>
      <c r="BN42" s="77">
        <f t="shared" si="50"/>
        <v>512</v>
      </c>
      <c r="BO42" s="77">
        <f t="shared" si="51"/>
        <v>63</v>
      </c>
      <c r="BP42" s="77">
        <f t="shared" si="52"/>
        <v>0</v>
      </c>
      <c r="BQ42" s="77">
        <v>0</v>
      </c>
      <c r="BR42" s="80">
        <f t="shared" si="53"/>
        <v>50458.2</v>
      </c>
    </row>
    <row r="43" spans="1:70" outlineLevel="1" x14ac:dyDescent="0.35">
      <c r="A43" s="1" t="s">
        <v>6</v>
      </c>
      <c r="B43" s="1" t="s">
        <v>7</v>
      </c>
      <c r="C43" s="1" t="s">
        <v>8</v>
      </c>
      <c r="D43" s="1" t="s">
        <v>56</v>
      </c>
      <c r="E43" s="1" t="s">
        <v>59</v>
      </c>
      <c r="F43" s="2">
        <v>1</v>
      </c>
      <c r="G43" s="66">
        <v>1</v>
      </c>
      <c r="H43" s="66">
        <v>1</v>
      </c>
      <c r="I43" s="10" t="s">
        <v>411</v>
      </c>
      <c r="J43" s="10" t="s">
        <v>408</v>
      </c>
      <c r="K43" s="10" t="s">
        <v>572</v>
      </c>
      <c r="L43" s="76" t="str">
        <f>IF(M43="","N",STEP!$J$22)</f>
        <v>N</v>
      </c>
      <c r="M43" s="1"/>
      <c r="N43" s="1"/>
      <c r="O43" s="1"/>
      <c r="P43" s="1"/>
      <c r="Q43" s="185">
        <v>20221002</v>
      </c>
      <c r="R43" s="196">
        <v>44836</v>
      </c>
      <c r="S43" s="197">
        <f t="shared" si="32"/>
        <v>0</v>
      </c>
      <c r="T43" s="66">
        <f t="shared" si="33"/>
        <v>0</v>
      </c>
      <c r="U43" s="1"/>
      <c r="V43" s="70">
        <v>16.9558</v>
      </c>
      <c r="W43" s="74"/>
      <c r="X43" s="70"/>
      <c r="Y43" s="74"/>
      <c r="Z43" s="1">
        <v>5506</v>
      </c>
      <c r="AA43" s="112">
        <f>VLOOKUP(Z43,'WRK COMP'!$A$1:$E$17,5,FALSE)</f>
        <v>1.8898000000000002E-2</v>
      </c>
      <c r="AB43" s="76" t="s">
        <v>13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10" t="s">
        <v>14</v>
      </c>
      <c r="AK43" s="10" t="s">
        <v>15</v>
      </c>
      <c r="AL43" s="10" t="s">
        <v>16</v>
      </c>
      <c r="AM43" s="78">
        <f>IF(F43&gt;0.79,IF(ROUNDUP(IF(B43="FS",(V43*HRS!$B$9),(V43*HRS!$L$2))*2,-3)&gt;150000,150000,(ROUNDUP(IF(B43="FS",(V43*HRS!$B$9),(V43*HRS!$L$2))*2,-3))),0)</f>
        <v>71000</v>
      </c>
      <c r="AN43" s="188">
        <f t="shared" si="34"/>
        <v>35269</v>
      </c>
      <c r="AO43" s="77">
        <f>IF(L43="N",IF(B43="FS",ROUNDUP($V43*HRS!$B$9*'Position Control'!F43,0),ROUNDUP('Position Control'!$V43*HRS!$L$2*'Position Control'!F43,0)),IF('Position Control'!B43="FS",ROUNDUP(('Position Control'!V43*HRS!$B$9*'Position Control'!W43*'Position Control'!F43)+('Position Control'!X43*HRS!$B$9*'Position Control'!Y43*'Position Control'!F43),0),ROUNDUP(('Position Control'!V43*HRS!$L$2*'Position Control'!W43*'Position Control'!F43)+('Position Control'!X43*HRS!$L$2*'Position Control'!Y43*'Position Control'!F43),0)))*'Position Control'!H43</f>
        <v>35269</v>
      </c>
      <c r="AP43" s="77">
        <f t="shared" si="35"/>
        <v>0</v>
      </c>
      <c r="AQ43" s="77">
        <f t="shared" si="36"/>
        <v>0</v>
      </c>
      <c r="AR43" s="77">
        <f t="shared" si="37"/>
        <v>0</v>
      </c>
      <c r="AS43" s="77">
        <v>0</v>
      </c>
      <c r="AT43" s="79">
        <f t="shared" si="38"/>
        <v>0</v>
      </c>
      <c r="AU43" s="77">
        <f t="shared" si="39"/>
        <v>0</v>
      </c>
      <c r="AV43" s="77">
        <v>0</v>
      </c>
      <c r="AW43" s="77">
        <f t="shared" si="40"/>
        <v>0</v>
      </c>
      <c r="AX43" s="77">
        <f t="shared" si="41"/>
        <v>0</v>
      </c>
      <c r="AY43" s="77">
        <f t="shared" si="42"/>
        <v>0</v>
      </c>
      <c r="AZ43" s="77">
        <f t="shared" si="43"/>
        <v>0</v>
      </c>
      <c r="BA43" s="77">
        <f t="shared" si="44"/>
        <v>0</v>
      </c>
      <c r="BB43" s="77">
        <f t="shared" si="45"/>
        <v>0</v>
      </c>
      <c r="BC43" s="77">
        <f t="shared" si="30"/>
        <v>0</v>
      </c>
      <c r="BD43" s="77">
        <f t="shared" si="46"/>
        <v>0</v>
      </c>
      <c r="BE43" s="77">
        <v>0</v>
      </c>
      <c r="BF43" s="77">
        <f t="shared" si="47"/>
        <v>85.2</v>
      </c>
      <c r="BG43" s="77">
        <f>VLOOKUP($AJ43,BENE!$I$2:$N$9,6,FALSE)*'Position Control'!$H43</f>
        <v>389</v>
      </c>
      <c r="BH43" s="77">
        <f>VLOOKUP($AK43,BENE!$A$2:$F$19,6,FALSE)*'Position Control'!$H43</f>
        <v>6142</v>
      </c>
      <c r="BI43" s="77">
        <f>VLOOKUP($AK43,BENE!$A$2:$G$19,7,FALSE)*'Position Control'!$H43</f>
        <v>1000</v>
      </c>
      <c r="BJ43" s="77">
        <f>VLOOKUP($AL43,BENE!$P$2:$S$6,4,FALSE)*'Position Control'!$H43</f>
        <v>240</v>
      </c>
      <c r="BK43" s="77">
        <f>IF($F43&gt;HRS!$H$2,ROUNDUP(((($AN43+$BE43)*$BK$3)/12*9)+(($AN43+$BE43)*HRS!$B$10/12*3),0),0)*$H43</f>
        <v>5947</v>
      </c>
      <c r="BL43" s="80">
        <f t="shared" si="48"/>
        <v>667</v>
      </c>
      <c r="BM43" s="77">
        <f t="shared" si="49"/>
        <v>144</v>
      </c>
      <c r="BN43" s="77">
        <f t="shared" si="50"/>
        <v>512</v>
      </c>
      <c r="BO43" s="77">
        <f t="shared" si="51"/>
        <v>63</v>
      </c>
      <c r="BP43" s="77">
        <f t="shared" si="52"/>
        <v>0</v>
      </c>
      <c r="BQ43" s="77">
        <v>0</v>
      </c>
      <c r="BR43" s="80">
        <f t="shared" si="53"/>
        <v>50458.2</v>
      </c>
    </row>
    <row r="44" spans="1:70" outlineLevel="1" x14ac:dyDescent="0.35">
      <c r="A44" s="1" t="s">
        <v>6</v>
      </c>
      <c r="B44" s="1" t="s">
        <v>7</v>
      </c>
      <c r="C44" s="1" t="s">
        <v>8</v>
      </c>
      <c r="D44" s="1" t="s">
        <v>56</v>
      </c>
      <c r="E44" s="1" t="s">
        <v>59</v>
      </c>
      <c r="F44" s="2">
        <v>1</v>
      </c>
      <c r="G44" s="66">
        <v>1</v>
      </c>
      <c r="H44" s="66">
        <v>1</v>
      </c>
      <c r="I44" s="10" t="s">
        <v>411</v>
      </c>
      <c r="J44" s="10" t="s">
        <v>408</v>
      </c>
      <c r="K44" s="10" t="s">
        <v>572</v>
      </c>
      <c r="L44" s="76" t="str">
        <f>IF(M44="","N",STEP!$J$22)</f>
        <v>N</v>
      </c>
      <c r="M44" s="1"/>
      <c r="N44" s="1"/>
      <c r="O44" s="1"/>
      <c r="P44" s="1"/>
      <c r="Q44" s="185">
        <v>20221002</v>
      </c>
      <c r="R44" s="196">
        <v>44836</v>
      </c>
      <c r="S44" s="197">
        <f t="shared" si="32"/>
        <v>0</v>
      </c>
      <c r="T44" s="66">
        <f t="shared" si="33"/>
        <v>0</v>
      </c>
      <c r="U44" s="1"/>
      <c r="V44" s="70">
        <v>18.6938</v>
      </c>
      <c r="W44" s="74"/>
      <c r="X44" s="70"/>
      <c r="Y44" s="74"/>
      <c r="Z44" s="1">
        <v>5506</v>
      </c>
      <c r="AA44" s="112">
        <f>VLOOKUP(Z44,'WRK COMP'!$A$1:$E$17,5,FALSE)</f>
        <v>1.8898000000000002E-2</v>
      </c>
      <c r="AB44" s="76" t="s">
        <v>13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10" t="s">
        <v>14</v>
      </c>
      <c r="AK44" s="10" t="s">
        <v>15</v>
      </c>
      <c r="AL44" s="10" t="s">
        <v>16</v>
      </c>
      <c r="AM44" s="78">
        <f>IF(F44&gt;0.79,IF(ROUNDUP(IF(B44="FS",(V44*HRS!$B$9),(V44*HRS!$L$2))*2,-3)&gt;150000,150000,(ROUNDUP(IF(B44="FS",(V44*HRS!$B$9),(V44*HRS!$L$2))*2,-3))),0)</f>
        <v>78000</v>
      </c>
      <c r="AN44" s="188">
        <f t="shared" si="34"/>
        <v>38884</v>
      </c>
      <c r="AO44" s="77">
        <f>IF(L44="N",IF(B44="FS",ROUNDUP($V44*HRS!$B$9*'Position Control'!F44,0),ROUNDUP('Position Control'!$V44*HRS!$L$2*'Position Control'!F44,0)),IF('Position Control'!B44="FS",ROUNDUP(('Position Control'!V44*HRS!$B$9*'Position Control'!W44*'Position Control'!F44)+('Position Control'!X44*HRS!$B$9*'Position Control'!Y44*'Position Control'!F44),0),ROUNDUP(('Position Control'!V44*HRS!$L$2*'Position Control'!W44*'Position Control'!F44)+('Position Control'!X44*HRS!$L$2*'Position Control'!Y44*'Position Control'!F44),0)))*'Position Control'!H44</f>
        <v>38884</v>
      </c>
      <c r="AP44" s="77">
        <f t="shared" si="35"/>
        <v>0</v>
      </c>
      <c r="AQ44" s="77">
        <f t="shared" si="36"/>
        <v>0</v>
      </c>
      <c r="AR44" s="77">
        <f t="shared" si="37"/>
        <v>0</v>
      </c>
      <c r="AS44" s="77">
        <v>0</v>
      </c>
      <c r="AT44" s="79">
        <f t="shared" si="38"/>
        <v>0</v>
      </c>
      <c r="AU44" s="77">
        <f t="shared" si="39"/>
        <v>0</v>
      </c>
      <c r="AV44" s="77">
        <v>0</v>
      </c>
      <c r="AW44" s="77">
        <f t="shared" si="40"/>
        <v>0</v>
      </c>
      <c r="AX44" s="77">
        <f t="shared" si="41"/>
        <v>0</v>
      </c>
      <c r="AY44" s="77">
        <f t="shared" si="42"/>
        <v>0</v>
      </c>
      <c r="AZ44" s="77">
        <f t="shared" si="43"/>
        <v>0</v>
      </c>
      <c r="BA44" s="77">
        <f t="shared" si="44"/>
        <v>0</v>
      </c>
      <c r="BB44" s="77">
        <f t="shared" si="45"/>
        <v>0</v>
      </c>
      <c r="BC44" s="77">
        <f t="shared" si="30"/>
        <v>0</v>
      </c>
      <c r="BD44" s="77">
        <f t="shared" si="46"/>
        <v>0</v>
      </c>
      <c r="BE44" s="77">
        <v>0</v>
      </c>
      <c r="BF44" s="77">
        <f t="shared" si="47"/>
        <v>93.600000000000009</v>
      </c>
      <c r="BG44" s="77">
        <f>VLOOKUP($AJ44,BENE!$I$2:$N$9,6,FALSE)*'Position Control'!$H44</f>
        <v>389</v>
      </c>
      <c r="BH44" s="77">
        <f>VLOOKUP($AK44,BENE!$A$2:$F$19,6,FALSE)*'Position Control'!$H44</f>
        <v>6142</v>
      </c>
      <c r="BI44" s="77">
        <f>VLOOKUP($AK44,BENE!$A$2:$G$19,7,FALSE)*'Position Control'!$H44</f>
        <v>1000</v>
      </c>
      <c r="BJ44" s="77">
        <f>VLOOKUP($AL44,BENE!$P$2:$S$6,4,FALSE)*'Position Control'!$H44</f>
        <v>240</v>
      </c>
      <c r="BK44" s="77">
        <f>IF($F44&gt;HRS!$H$2,ROUNDUP(((($AN44+$BE44)*$BK$3)/12*9)+(($AN44+$BE44)*HRS!$B$10/12*3),0),0)*$H44</f>
        <v>6556</v>
      </c>
      <c r="BL44" s="80">
        <f t="shared" si="48"/>
        <v>735</v>
      </c>
      <c r="BM44" s="77">
        <f t="shared" si="49"/>
        <v>144</v>
      </c>
      <c r="BN44" s="77">
        <f t="shared" si="50"/>
        <v>564</v>
      </c>
      <c r="BO44" s="77">
        <f t="shared" si="51"/>
        <v>70</v>
      </c>
      <c r="BP44" s="77">
        <f t="shared" si="52"/>
        <v>0</v>
      </c>
      <c r="BQ44" s="77">
        <v>0</v>
      </c>
      <c r="BR44" s="80">
        <f t="shared" si="53"/>
        <v>54817.599999999999</v>
      </c>
    </row>
    <row r="45" spans="1:70" outlineLevel="1" x14ac:dyDescent="0.35">
      <c r="A45" s="1" t="s">
        <v>6</v>
      </c>
      <c r="B45" s="1" t="s">
        <v>7</v>
      </c>
      <c r="C45" s="1" t="s">
        <v>8</v>
      </c>
      <c r="D45" s="1" t="s">
        <v>56</v>
      </c>
      <c r="E45" s="1" t="s">
        <v>59</v>
      </c>
      <c r="F45" s="2">
        <v>1</v>
      </c>
      <c r="G45" s="66">
        <v>0</v>
      </c>
      <c r="H45" s="66">
        <v>1</v>
      </c>
      <c r="I45" s="10" t="s">
        <v>409</v>
      </c>
      <c r="J45" s="10" t="s">
        <v>410</v>
      </c>
      <c r="K45" s="1"/>
      <c r="L45" s="76" t="str">
        <f>IF(M45="","N",STEP!$J$22)</f>
        <v>N</v>
      </c>
      <c r="M45" s="1"/>
      <c r="N45" s="1"/>
      <c r="O45" s="1"/>
      <c r="P45" s="1"/>
      <c r="Q45" s="185">
        <v>20221002</v>
      </c>
      <c r="R45" s="196">
        <v>44836</v>
      </c>
      <c r="S45" s="197">
        <f t="shared" si="32"/>
        <v>0</v>
      </c>
      <c r="T45" s="66">
        <f t="shared" si="33"/>
        <v>0</v>
      </c>
      <c r="U45" s="1"/>
      <c r="V45" s="70">
        <v>0</v>
      </c>
      <c r="W45" s="74"/>
      <c r="X45" s="70"/>
      <c r="Y45" s="74"/>
      <c r="Z45" s="1">
        <v>5506</v>
      </c>
      <c r="AA45" s="112">
        <f>VLOOKUP(Z45,'WRK COMP'!$A$1:$E$17,5,FALSE)</f>
        <v>1.8898000000000002E-2</v>
      </c>
      <c r="AB45" s="76" t="s">
        <v>13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10" t="s">
        <v>49</v>
      </c>
      <c r="AK45" s="10" t="s">
        <v>49</v>
      </c>
      <c r="AL45" s="10" t="s">
        <v>49</v>
      </c>
      <c r="AM45" s="78">
        <f>IF(F45&gt;0.79,IF(ROUNDUP(IF(B45="FS",(V45*HRS!$B$9),(V45*HRS!$L$2))*2,-3)&gt;150000,150000,(ROUNDUP(IF(B45="FS",(V45*HRS!$B$9),(V45*HRS!$L$2))*2,-3))),0)</f>
        <v>0</v>
      </c>
      <c r="AN45" s="188">
        <f t="shared" si="34"/>
        <v>8020</v>
      </c>
      <c r="AO45" s="77">
        <f>IF(L45="N",IF(B45="FS",ROUNDUP($V45*HRS!$B$9*'Position Control'!F45,0),ROUNDUP('Position Control'!$V45*HRS!$L$2*'Position Control'!F45,0)),IF('Position Control'!B45="FS",ROUNDUP(('Position Control'!V45*HRS!$B$9*'Position Control'!W45*'Position Control'!F45)+('Position Control'!X45*HRS!$B$9*'Position Control'!Y45*'Position Control'!F45),0),ROUNDUP(('Position Control'!V45*HRS!$L$2*'Position Control'!W45*'Position Control'!F45)+('Position Control'!X45*HRS!$L$2*'Position Control'!Y45*'Position Control'!F45),0)))*'Position Control'!H45</f>
        <v>0</v>
      </c>
      <c r="AP45" s="77">
        <f t="shared" si="35"/>
        <v>0</v>
      </c>
      <c r="AQ45" s="77">
        <f t="shared" si="36"/>
        <v>0</v>
      </c>
      <c r="AR45" s="77">
        <f t="shared" si="37"/>
        <v>0</v>
      </c>
      <c r="AS45" s="77">
        <v>0</v>
      </c>
      <c r="AT45" s="79">
        <f t="shared" si="38"/>
        <v>0</v>
      </c>
      <c r="AU45" s="77">
        <f t="shared" si="39"/>
        <v>0</v>
      </c>
      <c r="AV45" s="77">
        <f>'DIVISION BUDGETS'!C15</f>
        <v>8020</v>
      </c>
      <c r="AW45" s="77">
        <f t="shared" si="40"/>
        <v>0</v>
      </c>
      <c r="AX45" s="77">
        <f t="shared" si="41"/>
        <v>0</v>
      </c>
      <c r="AY45" s="77">
        <f t="shared" si="42"/>
        <v>0</v>
      </c>
      <c r="AZ45" s="77">
        <f t="shared" si="43"/>
        <v>0</v>
      </c>
      <c r="BA45" s="77">
        <f t="shared" si="44"/>
        <v>0</v>
      </c>
      <c r="BB45" s="77">
        <f t="shared" si="45"/>
        <v>0</v>
      </c>
      <c r="BC45" s="77">
        <f t="shared" si="30"/>
        <v>0</v>
      </c>
      <c r="BD45" s="77">
        <f t="shared" si="46"/>
        <v>0</v>
      </c>
      <c r="BE45" s="77">
        <f>'DIVISION BUDGETS'!D15</f>
        <v>12860</v>
      </c>
      <c r="BF45" s="77">
        <f t="shared" si="47"/>
        <v>0</v>
      </c>
      <c r="BG45" s="77">
        <f>VLOOKUP($AJ45,BENE!$I$2:$N$9,6,FALSE)*'Position Control'!$H45</f>
        <v>0</v>
      </c>
      <c r="BH45" s="77">
        <f>VLOOKUP($AK45,BENE!$A$2:$F$19,6,FALSE)*'Position Control'!$H45</f>
        <v>0</v>
      </c>
      <c r="BI45" s="77">
        <f>VLOOKUP($AK45,BENE!$A$2:$G$19,7,FALSE)*'Position Control'!$H45</f>
        <v>0</v>
      </c>
      <c r="BJ45" s="77">
        <f>VLOOKUP($AL45,BENE!$P$2:$S$6,4,FALSE)*'Position Control'!$H45</f>
        <v>0</v>
      </c>
      <c r="BK45" s="77">
        <f>IF($F45&gt;HRS!$H$2,ROUNDUP(((($AN45+$BE45)*$BK$3)/12*9)+(($AN45+$BE45)*HRS!$B$10/12*3),0),0)*$H45</f>
        <v>3521</v>
      </c>
      <c r="BL45" s="80">
        <f t="shared" si="48"/>
        <v>152</v>
      </c>
      <c r="BM45" s="77">
        <f t="shared" si="49"/>
        <v>129</v>
      </c>
      <c r="BN45" s="77">
        <f t="shared" si="50"/>
        <v>117</v>
      </c>
      <c r="BO45" s="77">
        <f t="shared" si="51"/>
        <v>14</v>
      </c>
      <c r="BP45" s="77">
        <f t="shared" si="52"/>
        <v>0</v>
      </c>
      <c r="BQ45" s="77">
        <v>0</v>
      </c>
      <c r="BR45" s="80">
        <f t="shared" si="53"/>
        <v>24813</v>
      </c>
    </row>
    <row r="46" spans="1:70" s="171" customFormat="1" x14ac:dyDescent="0.35">
      <c r="A46" s="161"/>
      <c r="B46" s="161"/>
      <c r="C46" s="161"/>
      <c r="D46" s="161"/>
      <c r="E46" s="161"/>
      <c r="F46" s="162"/>
      <c r="G46" s="163">
        <f>SUBTOTAL(9,G35:G45)</f>
        <v>10</v>
      </c>
      <c r="H46" s="163"/>
      <c r="I46" s="161" t="s">
        <v>555</v>
      </c>
      <c r="J46" s="161"/>
      <c r="K46" s="161"/>
      <c r="L46" s="164"/>
      <c r="M46" s="161"/>
      <c r="N46" s="161"/>
      <c r="O46" s="161"/>
      <c r="P46" s="161"/>
      <c r="Q46" s="186"/>
      <c r="R46" s="200"/>
      <c r="S46" s="208"/>
      <c r="T46" s="163"/>
      <c r="U46" s="161"/>
      <c r="V46" s="165"/>
      <c r="W46" s="166"/>
      <c r="X46" s="165"/>
      <c r="Y46" s="166"/>
      <c r="Z46" s="161"/>
      <c r="AA46" s="167"/>
      <c r="AB46" s="164"/>
      <c r="AC46" s="168"/>
      <c r="AD46" s="168"/>
      <c r="AE46" s="168"/>
      <c r="AF46" s="168"/>
      <c r="AG46" s="168"/>
      <c r="AH46" s="168"/>
      <c r="AI46" s="168"/>
      <c r="AJ46" s="161"/>
      <c r="AK46" s="161"/>
      <c r="AL46" s="161"/>
      <c r="AM46" s="169"/>
      <c r="AN46" s="189">
        <f t="shared" ref="AN46:BR46" si="54">SUBTOTAL(9,AN35:AN45)</f>
        <v>434461</v>
      </c>
      <c r="AO46" s="170">
        <f t="shared" si="54"/>
        <v>426441</v>
      </c>
      <c r="AP46" s="170">
        <f t="shared" si="54"/>
        <v>0</v>
      </c>
      <c r="AQ46" s="170">
        <f t="shared" si="54"/>
        <v>0</v>
      </c>
      <c r="AR46" s="170">
        <f t="shared" si="54"/>
        <v>0</v>
      </c>
      <c r="AS46" s="170">
        <f t="shared" si="54"/>
        <v>0</v>
      </c>
      <c r="AT46" s="170">
        <f t="shared" si="54"/>
        <v>0</v>
      </c>
      <c r="AU46" s="170">
        <f t="shared" si="54"/>
        <v>0</v>
      </c>
      <c r="AV46" s="170">
        <f t="shared" si="54"/>
        <v>8020</v>
      </c>
      <c r="AW46" s="170">
        <f t="shared" si="54"/>
        <v>0</v>
      </c>
      <c r="AX46" s="170">
        <f t="shared" si="54"/>
        <v>0</v>
      </c>
      <c r="AY46" s="170">
        <f t="shared" si="54"/>
        <v>0</v>
      </c>
      <c r="AZ46" s="170">
        <f t="shared" si="54"/>
        <v>0</v>
      </c>
      <c r="BA46" s="170">
        <f t="shared" si="54"/>
        <v>0</v>
      </c>
      <c r="BB46" s="170">
        <f t="shared" si="54"/>
        <v>0</v>
      </c>
      <c r="BC46" s="170">
        <f t="shared" si="54"/>
        <v>0</v>
      </c>
      <c r="BD46" s="170">
        <f t="shared" si="54"/>
        <v>285</v>
      </c>
      <c r="BE46" s="170">
        <f t="shared" si="54"/>
        <v>12860</v>
      </c>
      <c r="BF46" s="170">
        <f t="shared" si="54"/>
        <v>1028.4000000000001</v>
      </c>
      <c r="BG46" s="170">
        <f t="shared" si="54"/>
        <v>3420</v>
      </c>
      <c r="BH46" s="170">
        <f t="shared" si="54"/>
        <v>62148</v>
      </c>
      <c r="BI46" s="170">
        <f t="shared" si="54"/>
        <v>9000</v>
      </c>
      <c r="BJ46" s="170">
        <f t="shared" si="54"/>
        <v>2160</v>
      </c>
      <c r="BK46" s="170">
        <f t="shared" si="54"/>
        <v>75423</v>
      </c>
      <c r="BL46" s="170">
        <f t="shared" si="54"/>
        <v>8216</v>
      </c>
      <c r="BM46" s="170">
        <f t="shared" si="54"/>
        <v>1569</v>
      </c>
      <c r="BN46" s="170">
        <f t="shared" si="54"/>
        <v>6304</v>
      </c>
      <c r="BO46" s="170">
        <f t="shared" si="54"/>
        <v>780</v>
      </c>
      <c r="BP46" s="170">
        <f t="shared" si="54"/>
        <v>0</v>
      </c>
      <c r="BQ46" s="170">
        <f t="shared" si="54"/>
        <v>0</v>
      </c>
      <c r="BR46" s="170">
        <f t="shared" si="54"/>
        <v>617654.4</v>
      </c>
    </row>
    <row r="47" spans="1:70" outlineLevel="1" x14ac:dyDescent="0.35">
      <c r="A47" s="1" t="s">
        <v>6</v>
      </c>
      <c r="B47" s="1" t="s">
        <v>7</v>
      </c>
      <c r="C47" s="1" t="s">
        <v>8</v>
      </c>
      <c r="D47" s="1" t="s">
        <v>63</v>
      </c>
      <c r="E47" s="1" t="s">
        <v>64</v>
      </c>
      <c r="F47" s="2">
        <v>1</v>
      </c>
      <c r="G47" s="66">
        <v>1</v>
      </c>
      <c r="H47" s="66">
        <v>1</v>
      </c>
      <c r="I47" s="1" t="s">
        <v>611</v>
      </c>
      <c r="J47" s="1" t="s">
        <v>612</v>
      </c>
      <c r="K47" s="1" t="s">
        <v>67</v>
      </c>
      <c r="L47" s="76" t="str">
        <f>IF(M47="","N",STEP!$J$22)</f>
        <v>N</v>
      </c>
      <c r="M47" s="1" t="s">
        <v>11</v>
      </c>
      <c r="N47" s="1" t="s">
        <v>11</v>
      </c>
      <c r="O47" s="1" t="s">
        <v>11</v>
      </c>
      <c r="P47" s="1"/>
      <c r="Q47" s="185">
        <v>20180305</v>
      </c>
      <c r="R47" s="196">
        <v>43164</v>
      </c>
      <c r="S47" s="197">
        <f t="shared" ref="S47:S54" si="55">IF(A47="FT",IF(R47&gt;$S$1,0,(DATEDIF(R47,$S$1,"M"))),0)</f>
        <v>54</v>
      </c>
      <c r="T47" s="66">
        <f t="shared" ref="T47:T54" si="56">ROUNDDOWN(IF(A47="FT",DATEDIF(R47,$T$1,"y"),0),0)</f>
        <v>5</v>
      </c>
      <c r="U47" s="1" t="s">
        <v>12</v>
      </c>
      <c r="V47" s="70">
        <v>71.429599999999994</v>
      </c>
      <c r="W47" s="74"/>
      <c r="X47" s="70"/>
      <c r="Y47" s="74"/>
      <c r="Z47" s="1">
        <v>8810</v>
      </c>
      <c r="AA47" s="112">
        <f>VLOOKUP(Z47,'WRK COMP'!$A$1:$E$17,5,FALSE)</f>
        <v>1.0169999999999999E-3</v>
      </c>
      <c r="AB47" s="76" t="s">
        <v>13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10" t="s">
        <v>14</v>
      </c>
      <c r="AK47" s="10" t="s">
        <v>43</v>
      </c>
      <c r="AL47" s="10" t="s">
        <v>49</v>
      </c>
      <c r="AM47" s="78">
        <f>IF(F47&gt;0.79,IF(ROUNDUP(IF(B47="FS",(V47*HRS!$B$9),(V47*HRS!$L$2))*2,-3)&gt;150000,150000,(ROUNDUP(IF(B47="FS",(V47*HRS!$B$9),(V47*HRS!$L$2))*2,-3))),0)</f>
        <v>150000</v>
      </c>
      <c r="AN47" s="188">
        <f t="shared" ref="AN47:AN54" si="57">SUM(AO47:BB47)</f>
        <v>148574</v>
      </c>
      <c r="AO47" s="77">
        <f>IF(L47="N",IF(B47="FS",ROUNDUP($V47*HRS!$B$9*'Position Control'!F47,0),ROUNDUP('Position Control'!$V47*HRS!$L$2*'Position Control'!F47,0)),IF('Position Control'!B47="FS",ROUNDUP(('Position Control'!V47*HRS!$B$9*'Position Control'!W47*'Position Control'!F47)+('Position Control'!X47*HRS!$B$9*'Position Control'!Y47*'Position Control'!F47),0),ROUNDUP(('Position Control'!V47*HRS!$L$2*'Position Control'!W47*'Position Control'!F47)+('Position Control'!X47*HRS!$L$2*'Position Control'!Y47*'Position Control'!F47),0)))*'Position Control'!H47</f>
        <v>148574</v>
      </c>
      <c r="AP47" s="77">
        <f t="shared" ref="AP47:AP54" si="58">ROUNDUP(52*AC47,0)*H47</f>
        <v>0</v>
      </c>
      <c r="AQ47" s="77">
        <f t="shared" ref="AQ47:AQ54" si="59">IF(B47="FS",ROUNDUP(24*AD47,0),IF(B47="POL",ROUNDUP(26*AD47,0),ROUNDUP(52*AD47,0)))*$H47</f>
        <v>0</v>
      </c>
      <c r="AR47" s="77">
        <f t="shared" ref="AR47:AR54" si="60">IF(B47="FS",ROUNDUP(AG47*24,0),ROUNDUP(52*AG47,0))*H47</f>
        <v>0</v>
      </c>
      <c r="AS47" s="77">
        <v>0</v>
      </c>
      <c r="AT47" s="79">
        <f t="shared" ref="AT47:AT54" si="61">ROUNDUP(26*AF47,0)*H47</f>
        <v>0</v>
      </c>
      <c r="AU47" s="77">
        <f t="shared" ref="AU47:AU54" si="62">IF(B47="FS",ROUNDUP(24*AH47,0),IF(B47="POL",ROUNDUP(26*AH47,0),ROUNDUP(48*AH47,0)))*$H47</f>
        <v>0</v>
      </c>
      <c r="AV47" s="77">
        <v>0</v>
      </c>
      <c r="AW47" s="77">
        <f t="shared" ref="AW47:AW54" si="63">IF(B47="FS",ROUNDUP(24*AE47,0),IF(B47="POL",ROUNDUP(26*AE47,0),ROUNDUP(52*AE47,0)))*$H47</f>
        <v>0</v>
      </c>
      <c r="AX47" s="77">
        <f t="shared" ref="AX47:AX54" si="64">IF(AND(Q47&lt;20220401,A47&lt;&gt;"SP"),($AX$3*(AO47+BE47)),0)</f>
        <v>0</v>
      </c>
      <c r="AY47" s="77">
        <f t="shared" ref="AY47:AY54" si="65">IF(AND($L47="N",$Q47&lt;20220401,$A47&lt;&gt;"SP",$AO47&lt;100000),($AY$3*($AO47+$BE47)),0)</f>
        <v>0</v>
      </c>
      <c r="AZ47" s="77">
        <f t="shared" ref="AZ47:AZ54" si="66">IF(AND($L47="N",$Q47&lt;20220401,$A47&lt;&gt;"SP",$AO47&gt;100000),($AZ$3*($AO47+$BE47)),0)</f>
        <v>0</v>
      </c>
      <c r="BA47" s="77">
        <f t="shared" ref="BA47:BA54" si="67">IF(AND($L47="N",$Q47&lt;20220401,$A47&lt;&gt;"SP"),($BA$3*($AO47+$BE47)),0)</f>
        <v>0</v>
      </c>
      <c r="BB47" s="77">
        <f t="shared" ref="BB47:BB54" si="68">IF(AND($L47="Y",$Q47&lt;20220401,$A47&lt;&gt;"SP"),($BB$3*($AO47+$BE47)),0)</f>
        <v>0</v>
      </c>
      <c r="BC47" s="77">
        <f t="shared" si="30"/>
        <v>0</v>
      </c>
      <c r="BD47" s="77">
        <f t="shared" ref="BD47:BD54" si="69">IF($S47&gt;=12,IF(($S47*5)&gt;1200,1200,$S47*5),0)*$H47</f>
        <v>270</v>
      </c>
      <c r="BE47" s="77">
        <v>0</v>
      </c>
      <c r="BF47" s="77">
        <f t="shared" ref="BF47:BF54" si="70">$AM47*$BF$3*12*$H47</f>
        <v>180</v>
      </c>
      <c r="BG47" s="77">
        <f>VLOOKUP($AJ47,BENE!$I$2:$N$9,6,FALSE)*'Position Control'!$H47</f>
        <v>389</v>
      </c>
      <c r="BH47" s="77">
        <f>VLOOKUP($AK47,BENE!$A$2:$F$19,6,FALSE)*'Position Control'!$H47</f>
        <v>6870</v>
      </c>
      <c r="BI47" s="77">
        <f>VLOOKUP($AK47,BENE!$A$2:$G$19,7,FALSE)*'Position Control'!$H47</f>
        <v>0</v>
      </c>
      <c r="BJ47" s="77">
        <f>VLOOKUP($AL47,BENE!$P$2:$S$6,4,FALSE)*'Position Control'!$H47</f>
        <v>0</v>
      </c>
      <c r="BK47" s="77">
        <f>IF($F47&gt;HRS!$H$2,ROUNDUP(((($AN47+$BE47)*$BK$3)/12*9)+(($AN47+$BE47)*HRS!$B$10/12*3),0),0)*$H47</f>
        <v>25050</v>
      </c>
      <c r="BL47" s="80">
        <f t="shared" ref="BL47:BL54" si="71">ROUNDUP($AN47*$AA47,0)*$H47</f>
        <v>152</v>
      </c>
      <c r="BM47" s="77">
        <f t="shared" ref="BM47:BM54" si="72">ROUNDUP(IF($AN47&gt;9000,$BM$3*9000,$BM$3*$AN47),0)*$H47</f>
        <v>144</v>
      </c>
      <c r="BN47" s="77">
        <f t="shared" ref="BN47:BN54" si="73">IF($AB47="Y",ROUNDUP($AN47*$BN$3,0),0)*$H47</f>
        <v>2155</v>
      </c>
      <c r="BO47" s="77">
        <f t="shared" ref="BO47:BO54" si="74">IF($A47&lt;&gt;"SP",ROUND($BO$3*$AN47,0)*$H47,0)</f>
        <v>267</v>
      </c>
      <c r="BP47" s="77">
        <f t="shared" ref="BP47:BP54" si="75">IF($T47&gt;24,2000,IF($T47&gt;19,1750,IF($T47&gt;14,1500,IF($T47&gt;9.9999999999999,1000,0))))*$H47</f>
        <v>0</v>
      </c>
      <c r="BQ47" s="77">
        <v>0</v>
      </c>
      <c r="BR47" s="80">
        <f t="shared" ref="BR47:BR54" si="76">SUM(AO47:AW47)+SUM(BC47:BQ47)</f>
        <v>184051</v>
      </c>
    </row>
    <row r="48" spans="1:70" outlineLevel="1" x14ac:dyDescent="0.35">
      <c r="A48" s="1" t="s">
        <v>6</v>
      </c>
      <c r="B48" s="1" t="s">
        <v>7</v>
      </c>
      <c r="C48" s="1" t="s">
        <v>8</v>
      </c>
      <c r="D48" s="1" t="s">
        <v>63</v>
      </c>
      <c r="E48" s="1" t="s">
        <v>64</v>
      </c>
      <c r="F48" s="2">
        <v>1</v>
      </c>
      <c r="G48" s="66">
        <v>1</v>
      </c>
      <c r="H48" s="66">
        <v>1</v>
      </c>
      <c r="I48" s="1" t="s">
        <v>611</v>
      </c>
      <c r="J48" s="1" t="s">
        <v>612</v>
      </c>
      <c r="K48" s="1" t="s">
        <v>68</v>
      </c>
      <c r="L48" s="76" t="str">
        <f>IF(M48="","N",STEP!$J$22)</f>
        <v>N</v>
      </c>
      <c r="M48" s="1" t="s">
        <v>11</v>
      </c>
      <c r="N48" s="1" t="s">
        <v>11</v>
      </c>
      <c r="O48" s="1" t="s">
        <v>11</v>
      </c>
      <c r="P48" s="1"/>
      <c r="Q48" s="185">
        <v>20210607</v>
      </c>
      <c r="R48" s="196">
        <v>44354</v>
      </c>
      <c r="S48" s="197">
        <f t="shared" si="55"/>
        <v>15</v>
      </c>
      <c r="T48" s="66">
        <f t="shared" si="56"/>
        <v>2</v>
      </c>
      <c r="U48" s="1" t="s">
        <v>12</v>
      </c>
      <c r="V48" s="70">
        <v>40.865400000000001</v>
      </c>
      <c r="W48" s="74"/>
      <c r="X48" s="70"/>
      <c r="Y48" s="74"/>
      <c r="Z48" s="1">
        <v>8810</v>
      </c>
      <c r="AA48" s="112">
        <f>VLOOKUP(Z48,'WRK COMP'!$A$1:$E$17,5,FALSE)</f>
        <v>1.0169999999999999E-3</v>
      </c>
      <c r="AB48" s="76" t="s">
        <v>13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9" t="s">
        <v>49</v>
      </c>
      <c r="AK48" s="10" t="s">
        <v>49</v>
      </c>
      <c r="AL48" s="10" t="s">
        <v>16</v>
      </c>
      <c r="AM48" s="78">
        <f>IF(F48&gt;0.79,IF(ROUNDUP(IF(B48="FS",(V48*HRS!$B$9),(V48*HRS!$L$2))*2,-3)&gt;150000,150000,(ROUNDUP(IF(B48="FS",(V48*HRS!$B$9),(V48*HRS!$L$2))*2,-3))),0)</f>
        <v>150000</v>
      </c>
      <c r="AN48" s="188">
        <f t="shared" si="57"/>
        <v>85001</v>
      </c>
      <c r="AO48" s="77">
        <f>IF(L48="N",IF(B48="FS",ROUNDUP($V48*HRS!$B$9*'Position Control'!F48,0),ROUNDUP('Position Control'!$V48*HRS!$L$2*'Position Control'!F48,0)),IF('Position Control'!B48="FS",ROUNDUP(('Position Control'!V48*HRS!$B$9*'Position Control'!W48*'Position Control'!F48)+('Position Control'!X48*HRS!$B$9*'Position Control'!Y48*'Position Control'!F48),0),ROUNDUP(('Position Control'!V48*HRS!$L$2*'Position Control'!W48*'Position Control'!F48)+('Position Control'!X48*HRS!$L$2*'Position Control'!Y48*'Position Control'!F48),0)))*'Position Control'!H48</f>
        <v>85001</v>
      </c>
      <c r="AP48" s="77">
        <f t="shared" si="58"/>
        <v>0</v>
      </c>
      <c r="AQ48" s="77">
        <f t="shared" si="59"/>
        <v>0</v>
      </c>
      <c r="AR48" s="77">
        <f t="shared" si="60"/>
        <v>0</v>
      </c>
      <c r="AS48" s="77">
        <v>0</v>
      </c>
      <c r="AT48" s="79">
        <f t="shared" si="61"/>
        <v>0</v>
      </c>
      <c r="AU48" s="77">
        <f t="shared" si="62"/>
        <v>0</v>
      </c>
      <c r="AV48" s="77">
        <v>0</v>
      </c>
      <c r="AW48" s="77">
        <f t="shared" si="63"/>
        <v>0</v>
      </c>
      <c r="AX48" s="77">
        <f t="shared" si="64"/>
        <v>0</v>
      </c>
      <c r="AY48" s="77">
        <f t="shared" si="65"/>
        <v>0</v>
      </c>
      <c r="AZ48" s="77">
        <f t="shared" si="66"/>
        <v>0</v>
      </c>
      <c r="BA48" s="77">
        <f t="shared" si="67"/>
        <v>0</v>
      </c>
      <c r="BB48" s="77">
        <f t="shared" si="68"/>
        <v>0</v>
      </c>
      <c r="BC48" s="77">
        <f t="shared" si="30"/>
        <v>0</v>
      </c>
      <c r="BD48" s="77">
        <f t="shared" si="69"/>
        <v>75</v>
      </c>
      <c r="BE48" s="77">
        <v>0</v>
      </c>
      <c r="BF48" s="77">
        <f t="shared" si="70"/>
        <v>180</v>
      </c>
      <c r="BG48" s="77">
        <f>VLOOKUP($AJ48,BENE!$I$2:$N$9,6,FALSE)*'Position Control'!$H48</f>
        <v>0</v>
      </c>
      <c r="BH48" s="77">
        <f>VLOOKUP($AK48,BENE!$A$2:$F$19,6,FALSE)*'Position Control'!$H48</f>
        <v>0</v>
      </c>
      <c r="BI48" s="77">
        <f>VLOOKUP($AK48,BENE!$A$2:$G$19,7,FALSE)*'Position Control'!$H48</f>
        <v>0</v>
      </c>
      <c r="BJ48" s="77">
        <f>VLOOKUP($AL48,BENE!$P$2:$S$6,4,FALSE)*'Position Control'!$H48</f>
        <v>240</v>
      </c>
      <c r="BK48" s="77">
        <f>IF($F48&gt;HRS!$H$2,ROUNDUP(((($AN48+$BE48)*$BK$3)/12*9)+(($AN48+$BE48)*HRS!$B$10/12*3),0),0)*$H48</f>
        <v>14332</v>
      </c>
      <c r="BL48" s="80">
        <f t="shared" si="71"/>
        <v>87</v>
      </c>
      <c r="BM48" s="77">
        <f t="shared" si="72"/>
        <v>144</v>
      </c>
      <c r="BN48" s="77">
        <f t="shared" si="73"/>
        <v>1233</v>
      </c>
      <c r="BO48" s="77">
        <f t="shared" si="74"/>
        <v>153</v>
      </c>
      <c r="BP48" s="77">
        <f t="shared" si="75"/>
        <v>0</v>
      </c>
      <c r="BQ48" s="77">
        <v>0</v>
      </c>
      <c r="BR48" s="80">
        <f t="shared" si="76"/>
        <v>101445</v>
      </c>
    </row>
    <row r="49" spans="1:70" outlineLevel="1" x14ac:dyDescent="0.35">
      <c r="A49" s="1" t="s">
        <v>6</v>
      </c>
      <c r="B49" s="1" t="s">
        <v>7</v>
      </c>
      <c r="C49" s="1" t="s">
        <v>8</v>
      </c>
      <c r="D49" s="1" t="s">
        <v>63</v>
      </c>
      <c r="E49" s="1" t="s">
        <v>64</v>
      </c>
      <c r="F49" s="2">
        <v>1</v>
      </c>
      <c r="G49" s="66">
        <v>1</v>
      </c>
      <c r="H49" s="66">
        <v>1</v>
      </c>
      <c r="I49" s="1" t="s">
        <v>611</v>
      </c>
      <c r="J49" s="1" t="s">
        <v>612</v>
      </c>
      <c r="K49" s="1" t="s">
        <v>66</v>
      </c>
      <c r="L49" s="76" t="str">
        <f>IF(M49="","N",STEP!$J$22)</f>
        <v>N</v>
      </c>
      <c r="M49" s="1" t="s">
        <v>11</v>
      </c>
      <c r="N49" s="1" t="s">
        <v>11</v>
      </c>
      <c r="O49" s="1" t="s">
        <v>11</v>
      </c>
      <c r="P49" s="1"/>
      <c r="Q49" s="185">
        <v>20070905</v>
      </c>
      <c r="R49" s="196">
        <v>39330</v>
      </c>
      <c r="S49" s="197">
        <f t="shared" si="55"/>
        <v>180</v>
      </c>
      <c r="T49" s="66">
        <f t="shared" si="56"/>
        <v>16</v>
      </c>
      <c r="U49" s="1" t="s">
        <v>12</v>
      </c>
      <c r="V49" s="70">
        <v>42.7438</v>
      </c>
      <c r="W49" s="74"/>
      <c r="X49" s="70"/>
      <c r="Y49" s="74"/>
      <c r="Z49" s="1">
        <v>8810</v>
      </c>
      <c r="AA49" s="112">
        <f>VLOOKUP(Z49,'WRK COMP'!$A$1:$E$17,5,FALSE)</f>
        <v>1.0169999999999999E-3</v>
      </c>
      <c r="AB49" s="76" t="s">
        <v>13</v>
      </c>
      <c r="AC49" s="68">
        <v>0</v>
      </c>
      <c r="AD49" s="68">
        <v>46.16</v>
      </c>
      <c r="AE49" s="68">
        <v>0</v>
      </c>
      <c r="AF49" s="68">
        <v>0</v>
      </c>
      <c r="AG49" s="68">
        <v>0</v>
      </c>
      <c r="AH49" s="68">
        <v>12.5</v>
      </c>
      <c r="AI49" s="68">
        <v>0</v>
      </c>
      <c r="AJ49" s="10" t="s">
        <v>18</v>
      </c>
      <c r="AK49" s="10" t="s">
        <v>78</v>
      </c>
      <c r="AL49" s="10" t="s">
        <v>49</v>
      </c>
      <c r="AM49" s="78">
        <f>IF(F49&gt;0.79,IF(ROUNDUP(IF(B49="FS",(V49*HRS!$B$9),(V49*HRS!$L$2))*2,-3)&gt;150000,150000,(ROUNDUP(IF(B49="FS",(V49*HRS!$B$9),(V49*HRS!$L$2))*2,-3))),0)</f>
        <v>150000</v>
      </c>
      <c r="AN49" s="188">
        <f t="shared" si="57"/>
        <v>91909</v>
      </c>
      <c r="AO49" s="77">
        <f>IF(L49="N",IF(B49="FS",ROUNDUP($V49*HRS!$B$9*'Position Control'!F49,0),ROUNDUP('Position Control'!$V49*HRS!$L$2*'Position Control'!F49,0)),IF('Position Control'!B49="FS",ROUNDUP(('Position Control'!V49*HRS!$B$9*'Position Control'!W49*'Position Control'!F49)+('Position Control'!X49*HRS!$B$9*'Position Control'!Y49*'Position Control'!F49),0),ROUNDUP(('Position Control'!V49*HRS!$L$2*'Position Control'!W49*'Position Control'!F49)+('Position Control'!X49*HRS!$L$2*'Position Control'!Y49*'Position Control'!F49),0)))*'Position Control'!H49</f>
        <v>88908</v>
      </c>
      <c r="AP49" s="77">
        <f t="shared" si="58"/>
        <v>0</v>
      </c>
      <c r="AQ49" s="77">
        <f t="shared" si="59"/>
        <v>2401</v>
      </c>
      <c r="AR49" s="77">
        <f t="shared" si="60"/>
        <v>0</v>
      </c>
      <c r="AS49" s="77">
        <v>0</v>
      </c>
      <c r="AT49" s="79">
        <f t="shared" si="61"/>
        <v>0</v>
      </c>
      <c r="AU49" s="77">
        <f t="shared" si="62"/>
        <v>600</v>
      </c>
      <c r="AV49" s="77">
        <v>0</v>
      </c>
      <c r="AW49" s="77">
        <f t="shared" si="63"/>
        <v>0</v>
      </c>
      <c r="AX49" s="77">
        <f t="shared" si="64"/>
        <v>0</v>
      </c>
      <c r="AY49" s="77">
        <f t="shared" si="65"/>
        <v>0</v>
      </c>
      <c r="AZ49" s="77">
        <f t="shared" si="66"/>
        <v>0</v>
      </c>
      <c r="BA49" s="77">
        <f t="shared" si="67"/>
        <v>0</v>
      </c>
      <c r="BB49" s="77">
        <f t="shared" si="68"/>
        <v>0</v>
      </c>
      <c r="BC49" s="77">
        <f t="shared" si="30"/>
        <v>0</v>
      </c>
      <c r="BD49" s="77">
        <f t="shared" si="69"/>
        <v>900</v>
      </c>
      <c r="BE49" s="77">
        <v>0</v>
      </c>
      <c r="BF49" s="77">
        <f t="shared" si="70"/>
        <v>180</v>
      </c>
      <c r="BG49" s="77">
        <f>VLOOKUP($AJ49,BENE!$I$2:$N$9,6,FALSE)*'Position Control'!$H49</f>
        <v>760</v>
      </c>
      <c r="BH49" s="77">
        <f>VLOOKUP($AK49,BENE!$A$2:$F$19,6,FALSE)*'Position Control'!$H49</f>
        <v>18024</v>
      </c>
      <c r="BI49" s="77">
        <f>VLOOKUP($AK49,BENE!$A$2:$G$19,7,FALSE)*'Position Control'!$H49</f>
        <v>0</v>
      </c>
      <c r="BJ49" s="77">
        <f>VLOOKUP($AL49,BENE!$P$2:$S$6,4,FALSE)*'Position Control'!$H49</f>
        <v>0</v>
      </c>
      <c r="BK49" s="77">
        <f>IF($F49&gt;HRS!$H$2,ROUNDUP(((($AN49+$BE49)*$BK$3)/12*9)+(($AN49+$BE49)*HRS!$B$10/12*3),0),0)*$H49</f>
        <v>15496</v>
      </c>
      <c r="BL49" s="80">
        <f t="shared" si="71"/>
        <v>94</v>
      </c>
      <c r="BM49" s="77">
        <f t="shared" si="72"/>
        <v>144</v>
      </c>
      <c r="BN49" s="77">
        <f t="shared" si="73"/>
        <v>1333</v>
      </c>
      <c r="BO49" s="77">
        <f t="shared" si="74"/>
        <v>165</v>
      </c>
      <c r="BP49" s="77">
        <f t="shared" si="75"/>
        <v>1500</v>
      </c>
      <c r="BQ49" s="77">
        <v>0</v>
      </c>
      <c r="BR49" s="80">
        <f t="shared" si="76"/>
        <v>130505</v>
      </c>
    </row>
    <row r="50" spans="1:70" outlineLevel="1" x14ac:dyDescent="0.35">
      <c r="A50" s="1" t="s">
        <v>6</v>
      </c>
      <c r="B50" s="1" t="s">
        <v>7</v>
      </c>
      <c r="C50" s="1" t="s">
        <v>8</v>
      </c>
      <c r="D50" s="1" t="s">
        <v>63</v>
      </c>
      <c r="E50" s="1" t="s">
        <v>64</v>
      </c>
      <c r="F50" s="2">
        <v>1</v>
      </c>
      <c r="G50" s="66">
        <v>1</v>
      </c>
      <c r="H50" s="66">
        <v>1</v>
      </c>
      <c r="I50" s="1" t="s">
        <v>611</v>
      </c>
      <c r="J50" s="1" t="s">
        <v>612</v>
      </c>
      <c r="K50" s="10" t="s">
        <v>599</v>
      </c>
      <c r="L50" s="76" t="str">
        <f>IF(M50="","N",STEP!$J$22)</f>
        <v>N</v>
      </c>
      <c r="M50" s="1"/>
      <c r="N50" s="1"/>
      <c r="O50" s="1"/>
      <c r="P50" s="1"/>
      <c r="Q50" s="185">
        <v>20220606</v>
      </c>
      <c r="R50" s="196">
        <v>44718</v>
      </c>
      <c r="S50" s="197">
        <f t="shared" si="55"/>
        <v>3</v>
      </c>
      <c r="T50" s="66">
        <f t="shared" si="56"/>
        <v>1</v>
      </c>
      <c r="U50" s="1"/>
      <c r="V50" s="70">
        <v>39.183</v>
      </c>
      <c r="W50" s="74"/>
      <c r="X50" s="70"/>
      <c r="Y50" s="74"/>
      <c r="Z50" s="1">
        <v>8810</v>
      </c>
      <c r="AA50" s="112">
        <f>VLOOKUP(Z50,'WRK COMP'!$A$1:$E$17,5,FALSE)</f>
        <v>1.0169999999999999E-3</v>
      </c>
      <c r="AB50" s="76" t="s">
        <v>13</v>
      </c>
      <c r="AC50" s="68">
        <v>0</v>
      </c>
      <c r="AD50" s="68">
        <v>28.85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10" t="s">
        <v>28</v>
      </c>
      <c r="AK50" s="10" t="s">
        <v>35</v>
      </c>
      <c r="AL50" s="10" t="s">
        <v>36</v>
      </c>
      <c r="AM50" s="78">
        <f>IF(F50&gt;0.79,IF(ROUNDUP(IF(B50="FS",(V50*HRS!$B$9),(V50*HRS!$L$2))*2,-3)&gt;150000,150000,(ROUNDUP(IF(B50="FS",(V50*HRS!$B$9),(V50*HRS!$L$2))*2,-3))),0)</f>
        <v>150000</v>
      </c>
      <c r="AN50" s="188">
        <f t="shared" si="57"/>
        <v>83002</v>
      </c>
      <c r="AO50" s="77">
        <f>IF(L50="N",IF(B50="FS",ROUNDUP($V50*HRS!$B$9*'Position Control'!F50,0),ROUNDUP('Position Control'!$V50*HRS!$L$2*'Position Control'!F50,0)),IF('Position Control'!B50="FS",ROUNDUP(('Position Control'!V50*HRS!$B$9*'Position Control'!W50*'Position Control'!F50)+('Position Control'!X50*HRS!$B$9*'Position Control'!Y50*'Position Control'!F50),0),ROUNDUP(('Position Control'!V50*HRS!$L$2*'Position Control'!W50*'Position Control'!F50)+('Position Control'!X50*HRS!$L$2*'Position Control'!Y50*'Position Control'!F50),0)))*'Position Control'!H50</f>
        <v>81501</v>
      </c>
      <c r="AP50" s="77">
        <f t="shared" si="58"/>
        <v>0</v>
      </c>
      <c r="AQ50" s="77">
        <f t="shared" si="59"/>
        <v>1501</v>
      </c>
      <c r="AR50" s="77">
        <f t="shared" si="60"/>
        <v>0</v>
      </c>
      <c r="AS50" s="77">
        <v>0</v>
      </c>
      <c r="AT50" s="79">
        <f t="shared" si="61"/>
        <v>0</v>
      </c>
      <c r="AU50" s="77">
        <f t="shared" si="62"/>
        <v>0</v>
      </c>
      <c r="AV50" s="77">
        <v>0</v>
      </c>
      <c r="AW50" s="77">
        <f t="shared" si="63"/>
        <v>0</v>
      </c>
      <c r="AX50" s="77">
        <f t="shared" si="64"/>
        <v>0</v>
      </c>
      <c r="AY50" s="77">
        <f t="shared" si="65"/>
        <v>0</v>
      </c>
      <c r="AZ50" s="77">
        <f t="shared" si="66"/>
        <v>0</v>
      </c>
      <c r="BA50" s="77">
        <f t="shared" si="67"/>
        <v>0</v>
      </c>
      <c r="BB50" s="77">
        <f t="shared" si="68"/>
        <v>0</v>
      </c>
      <c r="BC50" s="77">
        <f>SUM(AX50:BB50)</f>
        <v>0</v>
      </c>
      <c r="BD50" s="77">
        <f t="shared" si="69"/>
        <v>0</v>
      </c>
      <c r="BE50" s="77">
        <v>0</v>
      </c>
      <c r="BF50" s="77">
        <f t="shared" si="70"/>
        <v>180</v>
      </c>
      <c r="BG50" s="77">
        <f>VLOOKUP($AJ50,BENE!$I$2:$N$9,6,FALSE)*'Position Control'!$H50</f>
        <v>154</v>
      </c>
      <c r="BH50" s="77">
        <f>VLOOKUP($AK50,BENE!$A$2:$F$19,6,FALSE)*'Position Control'!$H50</f>
        <v>10067</v>
      </c>
      <c r="BI50" s="77">
        <f>VLOOKUP($AK50,BENE!$A$2:$G$19,7,FALSE)*'Position Control'!$H50</f>
        <v>1500</v>
      </c>
      <c r="BJ50" s="77">
        <f>VLOOKUP($AL50,BENE!$P$2:$S$6,4,FALSE)*'Position Control'!$H50</f>
        <v>312</v>
      </c>
      <c r="BK50" s="77">
        <f>IF($F50&gt;HRS!$H$2,ROUNDUP(((($AN50+$BE50)*$BK$3)/12*9)+(($AN50+$BE50)*HRS!$B$10/12*3),0),0)*$H50</f>
        <v>13995</v>
      </c>
      <c r="BL50" s="80">
        <f t="shared" si="71"/>
        <v>85</v>
      </c>
      <c r="BM50" s="77">
        <f t="shared" si="72"/>
        <v>144</v>
      </c>
      <c r="BN50" s="77">
        <f t="shared" si="73"/>
        <v>1204</v>
      </c>
      <c r="BO50" s="77">
        <f t="shared" si="74"/>
        <v>149</v>
      </c>
      <c r="BP50" s="77">
        <f t="shared" si="75"/>
        <v>0</v>
      </c>
      <c r="BQ50" s="77">
        <v>0</v>
      </c>
      <c r="BR50" s="80">
        <f t="shared" si="76"/>
        <v>110792</v>
      </c>
    </row>
    <row r="51" spans="1:70" outlineLevel="1" x14ac:dyDescent="0.35">
      <c r="A51" s="1" t="s">
        <v>6</v>
      </c>
      <c r="B51" s="1" t="s">
        <v>7</v>
      </c>
      <c r="C51" s="1" t="s">
        <v>8</v>
      </c>
      <c r="D51" s="1" t="s">
        <v>63</v>
      </c>
      <c r="E51" s="1" t="s">
        <v>64</v>
      </c>
      <c r="F51" s="2">
        <v>1</v>
      </c>
      <c r="G51" s="66">
        <v>1</v>
      </c>
      <c r="H51" s="66">
        <v>1</v>
      </c>
      <c r="I51" s="1" t="s">
        <v>611</v>
      </c>
      <c r="J51" s="1" t="s">
        <v>612</v>
      </c>
      <c r="K51" s="10" t="s">
        <v>573</v>
      </c>
      <c r="L51" s="76" t="str">
        <f>IF(M51="","N",STEP!$J$22)</f>
        <v>N</v>
      </c>
      <c r="M51" s="1"/>
      <c r="N51" s="1"/>
      <c r="O51" s="1"/>
      <c r="P51" s="1"/>
      <c r="Q51" s="185">
        <v>20220613</v>
      </c>
      <c r="R51" s="196">
        <v>44725</v>
      </c>
      <c r="S51" s="197">
        <f t="shared" si="55"/>
        <v>3</v>
      </c>
      <c r="T51" s="66">
        <f t="shared" si="56"/>
        <v>1</v>
      </c>
      <c r="U51" s="1"/>
      <c r="V51" s="70">
        <v>33.654299999999999</v>
      </c>
      <c r="W51" s="74"/>
      <c r="X51" s="70"/>
      <c r="Y51" s="74"/>
      <c r="Z51" s="1">
        <v>8810</v>
      </c>
      <c r="AA51" s="112">
        <f>VLOOKUP(Z51,'WRK COMP'!$A$1:$E$17,5,FALSE)</f>
        <v>1.0169999999999999E-3</v>
      </c>
      <c r="AB51" s="76" t="s">
        <v>13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10" t="s">
        <v>49</v>
      </c>
      <c r="AK51" s="10" t="s">
        <v>49</v>
      </c>
      <c r="AL51" s="10" t="s">
        <v>49</v>
      </c>
      <c r="AM51" s="78">
        <f>IF(F51&gt;0.79,IF(ROUNDUP(IF(B51="FS",(V51*HRS!$B$9),(V51*HRS!$L$2))*2,-3)&gt;150000,150000,(ROUNDUP(IF(B51="FS",(V51*HRS!$B$9),(V51*HRS!$L$2))*2,-3))),0)</f>
        <v>141000</v>
      </c>
      <c r="AN51" s="188">
        <f t="shared" si="57"/>
        <v>70001</v>
      </c>
      <c r="AO51" s="77">
        <f>IF(L51="N",IF(B51="FS",ROUNDUP($V51*HRS!$B$9*'Position Control'!F51,0),ROUNDUP('Position Control'!$V51*HRS!$L$2*'Position Control'!F51,0)),IF('Position Control'!B51="FS",ROUNDUP(('Position Control'!V51*HRS!$B$9*'Position Control'!W51*'Position Control'!F51)+('Position Control'!X51*HRS!$B$9*'Position Control'!Y51*'Position Control'!F51),0),ROUNDUP(('Position Control'!V51*HRS!$L$2*'Position Control'!W51*'Position Control'!F51)+('Position Control'!X51*HRS!$L$2*'Position Control'!Y51*'Position Control'!F51),0)))*'Position Control'!H51</f>
        <v>70001</v>
      </c>
      <c r="AP51" s="77">
        <f t="shared" si="58"/>
        <v>0</v>
      </c>
      <c r="AQ51" s="77">
        <f t="shared" si="59"/>
        <v>0</v>
      </c>
      <c r="AR51" s="77">
        <f t="shared" si="60"/>
        <v>0</v>
      </c>
      <c r="AS51" s="77">
        <v>0</v>
      </c>
      <c r="AT51" s="79">
        <f t="shared" si="61"/>
        <v>0</v>
      </c>
      <c r="AU51" s="77">
        <f t="shared" si="62"/>
        <v>0</v>
      </c>
      <c r="AV51" s="77">
        <v>0</v>
      </c>
      <c r="AW51" s="77">
        <f t="shared" si="63"/>
        <v>0</v>
      </c>
      <c r="AX51" s="77">
        <f t="shared" si="64"/>
        <v>0</v>
      </c>
      <c r="AY51" s="77">
        <f t="shared" si="65"/>
        <v>0</v>
      </c>
      <c r="AZ51" s="77">
        <f t="shared" si="66"/>
        <v>0</v>
      </c>
      <c r="BA51" s="77">
        <f t="shared" si="67"/>
        <v>0</v>
      </c>
      <c r="BB51" s="77">
        <f t="shared" si="68"/>
        <v>0</v>
      </c>
      <c r="BC51" s="77">
        <f t="shared" si="30"/>
        <v>0</v>
      </c>
      <c r="BD51" s="77">
        <f t="shared" si="69"/>
        <v>0</v>
      </c>
      <c r="BE51" s="77">
        <v>0</v>
      </c>
      <c r="BF51" s="77">
        <f t="shared" si="70"/>
        <v>169.20000000000002</v>
      </c>
      <c r="BG51" s="77">
        <f>VLOOKUP($AJ51,BENE!$I$2:$N$9,6,FALSE)*'Position Control'!$H51</f>
        <v>0</v>
      </c>
      <c r="BH51" s="77">
        <f>VLOOKUP($AK51,BENE!$A$2:$F$19,6,FALSE)*'Position Control'!$H51</f>
        <v>0</v>
      </c>
      <c r="BI51" s="77">
        <f>VLOOKUP($AK51,BENE!$A$2:$G$19,7,FALSE)*'Position Control'!$H51</f>
        <v>0</v>
      </c>
      <c r="BJ51" s="77">
        <f>VLOOKUP($AL51,BENE!$P$2:$S$6,4,FALSE)*'Position Control'!$H51</f>
        <v>0</v>
      </c>
      <c r="BK51" s="77">
        <f>IF($F51&gt;HRS!$H$2,ROUNDUP(((($AN51+$BE51)*$BK$3)/12*9)+(($AN51+$BE51)*HRS!$B$10/12*3),0),0)*$H51</f>
        <v>11803</v>
      </c>
      <c r="BL51" s="80">
        <f t="shared" si="71"/>
        <v>72</v>
      </c>
      <c r="BM51" s="77">
        <f t="shared" si="72"/>
        <v>144</v>
      </c>
      <c r="BN51" s="77">
        <f t="shared" si="73"/>
        <v>1016</v>
      </c>
      <c r="BO51" s="77">
        <f t="shared" si="74"/>
        <v>126</v>
      </c>
      <c r="BP51" s="77">
        <f t="shared" si="75"/>
        <v>0</v>
      </c>
      <c r="BQ51" s="77">
        <v>0</v>
      </c>
      <c r="BR51" s="80">
        <f t="shared" si="76"/>
        <v>83331.199999999997</v>
      </c>
    </row>
    <row r="52" spans="1:70" outlineLevel="1" x14ac:dyDescent="0.35">
      <c r="A52" s="1" t="s">
        <v>6</v>
      </c>
      <c r="B52" s="1" t="s">
        <v>7</v>
      </c>
      <c r="C52" s="1" t="s">
        <v>8</v>
      </c>
      <c r="D52" s="1" t="s">
        <v>63</v>
      </c>
      <c r="E52" s="1" t="s">
        <v>64</v>
      </c>
      <c r="F52" s="2">
        <v>1</v>
      </c>
      <c r="G52" s="66">
        <v>1</v>
      </c>
      <c r="H52" s="66">
        <v>1</v>
      </c>
      <c r="I52" s="1" t="s">
        <v>611</v>
      </c>
      <c r="J52" s="1" t="s">
        <v>612</v>
      </c>
      <c r="K52" s="1" t="s">
        <v>69</v>
      </c>
      <c r="L52" s="76" t="str">
        <f>IF(M52="","N",STEP!$J$22)</f>
        <v>N</v>
      </c>
      <c r="M52" s="1" t="s">
        <v>11</v>
      </c>
      <c r="N52" s="1" t="s">
        <v>11</v>
      </c>
      <c r="O52" s="1" t="s">
        <v>11</v>
      </c>
      <c r="P52" s="1"/>
      <c r="Q52" s="185">
        <v>20210222</v>
      </c>
      <c r="R52" s="196">
        <v>44249</v>
      </c>
      <c r="S52" s="197">
        <f t="shared" si="55"/>
        <v>19</v>
      </c>
      <c r="T52" s="66">
        <f t="shared" si="56"/>
        <v>2</v>
      </c>
      <c r="U52" s="1" t="s">
        <v>12</v>
      </c>
      <c r="V52" s="70">
        <v>30.1572</v>
      </c>
      <c r="W52" s="74"/>
      <c r="X52" s="70"/>
      <c r="Y52" s="74"/>
      <c r="Z52" s="1">
        <v>8810</v>
      </c>
      <c r="AA52" s="112">
        <f>VLOOKUP(Z52,'WRK COMP'!$A$1:$E$17,5,FALSE)</f>
        <v>1.0169999999999999E-3</v>
      </c>
      <c r="AB52" s="76" t="s">
        <v>13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9" t="s">
        <v>49</v>
      </c>
      <c r="AK52" s="10" t="s">
        <v>49</v>
      </c>
      <c r="AL52" s="10" t="s">
        <v>16</v>
      </c>
      <c r="AM52" s="78">
        <f>IF(F52&gt;0.79,IF(ROUNDUP(IF(B52="FS",(V52*HRS!$B$9),(V52*HRS!$L$2))*2,-3)&gt;150000,150000,(ROUNDUP(IF(B52="FS",(V52*HRS!$B$9),(V52*HRS!$L$2))*2,-3))),0)</f>
        <v>126000</v>
      </c>
      <c r="AN52" s="188">
        <f t="shared" si="57"/>
        <v>62727</v>
      </c>
      <c r="AO52" s="77">
        <f>IF(L52="N",IF(B52="FS",ROUNDUP($V52*HRS!$B$9*'Position Control'!F52,0),ROUNDUP('Position Control'!$V52*HRS!$L$2*'Position Control'!F52,0)),IF('Position Control'!B52="FS",ROUNDUP(('Position Control'!V52*HRS!$B$9*'Position Control'!W52*'Position Control'!F52)+('Position Control'!X52*HRS!$B$9*'Position Control'!Y52*'Position Control'!F52),0),ROUNDUP(('Position Control'!V52*HRS!$L$2*'Position Control'!W52*'Position Control'!F52)+('Position Control'!X52*HRS!$L$2*'Position Control'!Y52*'Position Control'!F52),0)))*'Position Control'!H52</f>
        <v>62727</v>
      </c>
      <c r="AP52" s="77">
        <f t="shared" si="58"/>
        <v>0</v>
      </c>
      <c r="AQ52" s="77">
        <f t="shared" si="59"/>
        <v>0</v>
      </c>
      <c r="AR52" s="77">
        <f t="shared" si="60"/>
        <v>0</v>
      </c>
      <c r="AS52" s="77">
        <v>0</v>
      </c>
      <c r="AT52" s="79">
        <f t="shared" si="61"/>
        <v>0</v>
      </c>
      <c r="AU52" s="77">
        <f t="shared" si="62"/>
        <v>0</v>
      </c>
      <c r="AV52" s="77">
        <v>0</v>
      </c>
      <c r="AW52" s="77">
        <f t="shared" si="63"/>
        <v>0</v>
      </c>
      <c r="AX52" s="77">
        <f t="shared" si="64"/>
        <v>0</v>
      </c>
      <c r="AY52" s="77">
        <f t="shared" si="65"/>
        <v>0</v>
      </c>
      <c r="AZ52" s="77">
        <f t="shared" si="66"/>
        <v>0</v>
      </c>
      <c r="BA52" s="77">
        <f t="shared" si="67"/>
        <v>0</v>
      </c>
      <c r="BB52" s="77">
        <f t="shared" si="68"/>
        <v>0</v>
      </c>
      <c r="BC52" s="77">
        <f t="shared" si="30"/>
        <v>0</v>
      </c>
      <c r="BD52" s="77">
        <f t="shared" si="69"/>
        <v>95</v>
      </c>
      <c r="BE52" s="77">
        <v>0</v>
      </c>
      <c r="BF52" s="77">
        <f t="shared" si="70"/>
        <v>151.20000000000002</v>
      </c>
      <c r="BG52" s="77">
        <f>VLOOKUP($AJ52,BENE!$I$2:$N$9,6,FALSE)*'Position Control'!$H52</f>
        <v>0</v>
      </c>
      <c r="BH52" s="77">
        <f>VLOOKUP($AK52,BENE!$A$2:$F$19,6,FALSE)*'Position Control'!$H52</f>
        <v>0</v>
      </c>
      <c r="BI52" s="77">
        <f>VLOOKUP($AK52,BENE!$A$2:$G$19,7,FALSE)*'Position Control'!$H52</f>
        <v>0</v>
      </c>
      <c r="BJ52" s="77">
        <f>VLOOKUP($AL52,BENE!$P$2:$S$6,4,FALSE)*'Position Control'!$H52</f>
        <v>240</v>
      </c>
      <c r="BK52" s="77">
        <f>IF($F52&gt;HRS!$H$2,ROUNDUP(((($AN52+$BE52)*$BK$3)/12*9)+(($AN52+$BE52)*HRS!$B$10/12*3),0),0)*$H52</f>
        <v>10576</v>
      </c>
      <c r="BL52" s="80">
        <f t="shared" si="71"/>
        <v>64</v>
      </c>
      <c r="BM52" s="77">
        <f t="shared" si="72"/>
        <v>144</v>
      </c>
      <c r="BN52" s="77">
        <f t="shared" si="73"/>
        <v>910</v>
      </c>
      <c r="BO52" s="77">
        <f t="shared" si="74"/>
        <v>113</v>
      </c>
      <c r="BP52" s="77">
        <f t="shared" si="75"/>
        <v>0</v>
      </c>
      <c r="BQ52" s="77">
        <v>0</v>
      </c>
      <c r="BR52" s="80">
        <f t="shared" si="76"/>
        <v>75020.2</v>
      </c>
    </row>
    <row r="53" spans="1:70" outlineLevel="1" x14ac:dyDescent="0.35">
      <c r="A53" s="1" t="s">
        <v>6</v>
      </c>
      <c r="B53" s="1" t="s">
        <v>7</v>
      </c>
      <c r="C53" s="1" t="s">
        <v>8</v>
      </c>
      <c r="D53" s="1" t="s">
        <v>63</v>
      </c>
      <c r="E53" s="1" t="s">
        <v>64</v>
      </c>
      <c r="F53" s="2">
        <v>1</v>
      </c>
      <c r="G53" s="66">
        <v>1</v>
      </c>
      <c r="H53" s="66">
        <v>1</v>
      </c>
      <c r="I53" s="1" t="s">
        <v>611</v>
      </c>
      <c r="J53" s="1" t="s">
        <v>612</v>
      </c>
      <c r="K53" s="1" t="s">
        <v>65</v>
      </c>
      <c r="L53" s="76" t="str">
        <f>IF(M53="","N",STEP!$J$22)</f>
        <v>N</v>
      </c>
      <c r="M53" s="1" t="s">
        <v>11</v>
      </c>
      <c r="N53" s="1" t="s">
        <v>11</v>
      </c>
      <c r="O53" s="1" t="s">
        <v>11</v>
      </c>
      <c r="P53" s="1"/>
      <c r="Q53" s="185">
        <v>20160810</v>
      </c>
      <c r="R53" s="196">
        <v>42592</v>
      </c>
      <c r="S53" s="197">
        <f t="shared" si="55"/>
        <v>73</v>
      </c>
      <c r="T53" s="66">
        <f t="shared" si="56"/>
        <v>7</v>
      </c>
      <c r="U53" s="1" t="s">
        <v>12</v>
      </c>
      <c r="V53" s="70">
        <v>21.864999999999998</v>
      </c>
      <c r="W53" s="74"/>
      <c r="X53" s="70"/>
      <c r="Y53" s="74"/>
      <c r="Z53" s="1">
        <v>8810</v>
      </c>
      <c r="AA53" s="112">
        <f>VLOOKUP(Z53,'WRK COMP'!$A$1:$E$17,5,FALSE)</f>
        <v>1.0169999999999999E-3</v>
      </c>
      <c r="AB53" s="76" t="s">
        <v>13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10" t="s">
        <v>28</v>
      </c>
      <c r="AK53" s="10" t="s">
        <v>43</v>
      </c>
      <c r="AL53" s="10" t="s">
        <v>49</v>
      </c>
      <c r="AM53" s="78">
        <f>IF(F53&gt;0.79,IF(ROUNDUP(IF(B53="FS",(V53*HRS!$B$9),(V53*HRS!$L$2))*2,-3)&gt;150000,150000,(ROUNDUP(IF(B53="FS",(V53*HRS!$B$9),(V53*HRS!$L$2))*2,-3))),0)</f>
        <v>91000</v>
      </c>
      <c r="AN53" s="188">
        <f t="shared" si="57"/>
        <v>45480</v>
      </c>
      <c r="AO53" s="77">
        <f>IF(L53="N",IF(B53="FS",ROUNDUP($V53*HRS!$B$9*'Position Control'!F53,0),ROUNDUP('Position Control'!$V53*HRS!$L$2*'Position Control'!F53,0)),IF('Position Control'!B53="FS",ROUNDUP(('Position Control'!V53*HRS!$B$9*'Position Control'!W53*'Position Control'!F53)+('Position Control'!X53*HRS!$B$9*'Position Control'!Y53*'Position Control'!F53),0),ROUNDUP(('Position Control'!V53*HRS!$L$2*'Position Control'!W53*'Position Control'!F53)+('Position Control'!X53*HRS!$L$2*'Position Control'!Y53*'Position Control'!F53),0)))*'Position Control'!H53</f>
        <v>45480</v>
      </c>
      <c r="AP53" s="77">
        <f t="shared" si="58"/>
        <v>0</v>
      </c>
      <c r="AQ53" s="77">
        <f t="shared" si="59"/>
        <v>0</v>
      </c>
      <c r="AR53" s="77">
        <f t="shared" si="60"/>
        <v>0</v>
      </c>
      <c r="AS53" s="77">
        <v>0</v>
      </c>
      <c r="AT53" s="79">
        <f t="shared" si="61"/>
        <v>0</v>
      </c>
      <c r="AU53" s="77">
        <f t="shared" si="62"/>
        <v>0</v>
      </c>
      <c r="AV53" s="77">
        <v>0</v>
      </c>
      <c r="AW53" s="77">
        <f t="shared" si="63"/>
        <v>0</v>
      </c>
      <c r="AX53" s="77">
        <f t="shared" si="64"/>
        <v>0</v>
      </c>
      <c r="AY53" s="77">
        <f t="shared" si="65"/>
        <v>0</v>
      </c>
      <c r="AZ53" s="77">
        <f t="shared" si="66"/>
        <v>0</v>
      </c>
      <c r="BA53" s="77">
        <f t="shared" si="67"/>
        <v>0</v>
      </c>
      <c r="BB53" s="77">
        <f t="shared" si="68"/>
        <v>0</v>
      </c>
      <c r="BC53" s="77">
        <f t="shared" si="30"/>
        <v>0</v>
      </c>
      <c r="BD53" s="77">
        <f t="shared" si="69"/>
        <v>365</v>
      </c>
      <c r="BE53" s="77">
        <v>0</v>
      </c>
      <c r="BF53" s="77">
        <f t="shared" si="70"/>
        <v>109.19999999999999</v>
      </c>
      <c r="BG53" s="77">
        <f>VLOOKUP($AJ53,BENE!$I$2:$N$9,6,FALSE)*'Position Control'!$H53</f>
        <v>154</v>
      </c>
      <c r="BH53" s="77">
        <f>VLOOKUP($AK53,BENE!$A$2:$F$19,6,FALSE)*'Position Control'!$H53</f>
        <v>6870</v>
      </c>
      <c r="BI53" s="77">
        <f>VLOOKUP($AK53,BENE!$A$2:$G$19,7,FALSE)*'Position Control'!$H53</f>
        <v>0</v>
      </c>
      <c r="BJ53" s="77">
        <f>VLOOKUP($AL53,BENE!$P$2:$S$6,4,FALSE)*'Position Control'!$H53</f>
        <v>0</v>
      </c>
      <c r="BK53" s="77">
        <f>IF($F53&gt;HRS!$H$2,ROUNDUP(((($AN53+$BE53)*$BK$3)/12*9)+(($AN53+$BE53)*HRS!$B$10/12*3),0),0)*$H53</f>
        <v>7668</v>
      </c>
      <c r="BL53" s="80">
        <f t="shared" si="71"/>
        <v>47</v>
      </c>
      <c r="BM53" s="77">
        <f t="shared" si="72"/>
        <v>144</v>
      </c>
      <c r="BN53" s="77">
        <f t="shared" si="73"/>
        <v>660</v>
      </c>
      <c r="BO53" s="77">
        <f t="shared" si="74"/>
        <v>82</v>
      </c>
      <c r="BP53" s="77">
        <f t="shared" si="75"/>
        <v>0</v>
      </c>
      <c r="BQ53" s="77">
        <v>0</v>
      </c>
      <c r="BR53" s="80">
        <f t="shared" si="76"/>
        <v>61579.199999999997</v>
      </c>
    </row>
    <row r="54" spans="1:70" outlineLevel="1" x14ac:dyDescent="0.35">
      <c r="A54" s="1" t="s">
        <v>6</v>
      </c>
      <c r="B54" s="1" t="s">
        <v>7</v>
      </c>
      <c r="C54" s="1" t="s">
        <v>8</v>
      </c>
      <c r="D54" s="1" t="s">
        <v>63</v>
      </c>
      <c r="E54" s="1" t="s">
        <v>64</v>
      </c>
      <c r="F54" s="2">
        <v>1</v>
      </c>
      <c r="G54" s="66">
        <v>0</v>
      </c>
      <c r="H54" s="66">
        <v>1</v>
      </c>
      <c r="I54" s="10" t="s">
        <v>409</v>
      </c>
      <c r="J54" s="10" t="s">
        <v>410</v>
      </c>
      <c r="K54" s="1"/>
      <c r="L54" s="76" t="str">
        <f>IF(M54="","N",STEP!$J$22)</f>
        <v>N</v>
      </c>
      <c r="M54" s="1"/>
      <c r="N54" s="1"/>
      <c r="O54" s="1"/>
      <c r="P54" s="1"/>
      <c r="Q54" s="185">
        <v>20221002</v>
      </c>
      <c r="R54" s="196">
        <v>44836</v>
      </c>
      <c r="S54" s="197">
        <f t="shared" si="55"/>
        <v>0</v>
      </c>
      <c r="T54" s="66">
        <f t="shared" si="56"/>
        <v>0</v>
      </c>
      <c r="U54" s="1"/>
      <c r="V54" s="70">
        <v>0</v>
      </c>
      <c r="W54" s="74"/>
      <c r="X54" s="70"/>
      <c r="Y54" s="74"/>
      <c r="Z54" s="1">
        <v>8810</v>
      </c>
      <c r="AA54" s="112">
        <f>VLOOKUP(Z54,'WRK COMP'!$A$1:$E$17,5,FALSE)</f>
        <v>1.0169999999999999E-3</v>
      </c>
      <c r="AB54" s="76" t="s">
        <v>13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10" t="s">
        <v>49</v>
      </c>
      <c r="AK54" s="10" t="s">
        <v>49</v>
      </c>
      <c r="AL54" s="10" t="s">
        <v>49</v>
      </c>
      <c r="AM54" s="78">
        <f>IF(F54&gt;0.79,IF(ROUNDUP(IF(B54="FS",(V54*HRS!$B$9),(V54*HRS!$L$2))*2,-3)&gt;150000,150000,(ROUNDUP(IF(B54="FS",(V54*HRS!$B$9),(V54*HRS!$L$2))*2,-3))),0)</f>
        <v>0</v>
      </c>
      <c r="AN54" s="188">
        <f t="shared" si="57"/>
        <v>0</v>
      </c>
      <c r="AO54" s="77">
        <f>IF(L54="N",IF(B54="FS",ROUNDUP($V54*HRS!$B$9*'Position Control'!F54,0),ROUNDUP('Position Control'!$V54*HRS!$L$2*'Position Control'!F54,0)),IF('Position Control'!B54="FS",ROUNDUP(('Position Control'!V54*HRS!$B$9*'Position Control'!W54*'Position Control'!F54)+('Position Control'!X54*HRS!$B$9*'Position Control'!Y54*'Position Control'!F54),0),ROUNDUP(('Position Control'!V54*HRS!$L$2*'Position Control'!W54*'Position Control'!F54)+('Position Control'!X54*HRS!$L$2*'Position Control'!Y54*'Position Control'!F54),0)))*'Position Control'!H54</f>
        <v>0</v>
      </c>
      <c r="AP54" s="77">
        <f t="shared" si="58"/>
        <v>0</v>
      </c>
      <c r="AQ54" s="77">
        <f t="shared" si="59"/>
        <v>0</v>
      </c>
      <c r="AR54" s="77">
        <f t="shared" si="60"/>
        <v>0</v>
      </c>
      <c r="AS54" s="77">
        <v>0</v>
      </c>
      <c r="AT54" s="79">
        <f t="shared" si="61"/>
        <v>0</v>
      </c>
      <c r="AU54" s="77">
        <f t="shared" si="62"/>
        <v>0</v>
      </c>
      <c r="AV54" s="77">
        <v>0</v>
      </c>
      <c r="AW54" s="77">
        <f t="shared" si="63"/>
        <v>0</v>
      </c>
      <c r="AX54" s="77">
        <f t="shared" si="64"/>
        <v>0</v>
      </c>
      <c r="AY54" s="77">
        <f t="shared" si="65"/>
        <v>0</v>
      </c>
      <c r="AZ54" s="77">
        <f t="shared" si="66"/>
        <v>0</v>
      </c>
      <c r="BA54" s="77">
        <f t="shared" si="67"/>
        <v>0</v>
      </c>
      <c r="BB54" s="77">
        <f t="shared" si="68"/>
        <v>0</v>
      </c>
      <c r="BC54" s="77">
        <f t="shared" si="30"/>
        <v>0</v>
      </c>
      <c r="BD54" s="77">
        <f t="shared" si="69"/>
        <v>0</v>
      </c>
      <c r="BE54" s="77">
        <f>'DIVISION BUDGETS'!D16</f>
        <v>1000</v>
      </c>
      <c r="BF54" s="77">
        <f t="shared" si="70"/>
        <v>0</v>
      </c>
      <c r="BG54" s="77">
        <f>VLOOKUP($AJ54,BENE!$I$2:$N$9,6,FALSE)*'Position Control'!$H54</f>
        <v>0</v>
      </c>
      <c r="BH54" s="77">
        <f>VLOOKUP($AK54,BENE!$A$2:$F$19,6,FALSE)*'Position Control'!$H54</f>
        <v>0</v>
      </c>
      <c r="BI54" s="77">
        <f>VLOOKUP($AK54,BENE!$A$2:$G$19,7,FALSE)*'Position Control'!$H54</f>
        <v>0</v>
      </c>
      <c r="BJ54" s="77">
        <f>VLOOKUP($AL54,BENE!$P$2:$S$6,4,FALSE)*'Position Control'!$H54</f>
        <v>0</v>
      </c>
      <c r="BK54" s="77">
        <f>IF($F54&gt;HRS!$H$2,ROUNDUP(((($AN54+$BE54)*$BK$3)/12*9)+(($AN54+$BE54)*HRS!$B$10/12*3),0),0)*$H54</f>
        <v>169</v>
      </c>
      <c r="BL54" s="80">
        <f t="shared" si="71"/>
        <v>0</v>
      </c>
      <c r="BM54" s="77">
        <f t="shared" si="72"/>
        <v>0</v>
      </c>
      <c r="BN54" s="77">
        <f t="shared" si="73"/>
        <v>0</v>
      </c>
      <c r="BO54" s="77">
        <f t="shared" si="74"/>
        <v>0</v>
      </c>
      <c r="BP54" s="77">
        <f t="shared" si="75"/>
        <v>0</v>
      </c>
      <c r="BQ54" s="77">
        <v>0</v>
      </c>
      <c r="BR54" s="80">
        <f t="shared" si="76"/>
        <v>1169</v>
      </c>
    </row>
    <row r="55" spans="1:70" s="171" customFormat="1" x14ac:dyDescent="0.35">
      <c r="A55" s="161"/>
      <c r="B55" s="161"/>
      <c r="C55" s="161"/>
      <c r="D55" s="161"/>
      <c r="E55" s="161"/>
      <c r="F55" s="162"/>
      <c r="G55" s="163">
        <f>SUBTOTAL(9,G47:G54)</f>
        <v>7</v>
      </c>
      <c r="H55" s="163"/>
      <c r="I55" s="161" t="s">
        <v>556</v>
      </c>
      <c r="J55" s="161"/>
      <c r="K55" s="161"/>
      <c r="L55" s="164"/>
      <c r="M55" s="161"/>
      <c r="N55" s="161"/>
      <c r="O55" s="161"/>
      <c r="P55" s="161"/>
      <c r="Q55" s="186"/>
      <c r="R55" s="200"/>
      <c r="S55" s="208"/>
      <c r="T55" s="163"/>
      <c r="U55" s="161"/>
      <c r="V55" s="165"/>
      <c r="W55" s="166"/>
      <c r="X55" s="165"/>
      <c r="Y55" s="166"/>
      <c r="Z55" s="161"/>
      <c r="AA55" s="167"/>
      <c r="AB55" s="164"/>
      <c r="AC55" s="168"/>
      <c r="AD55" s="168"/>
      <c r="AE55" s="168"/>
      <c r="AF55" s="168"/>
      <c r="AG55" s="168"/>
      <c r="AH55" s="168"/>
      <c r="AI55" s="168"/>
      <c r="AJ55" s="161"/>
      <c r="AK55" s="161"/>
      <c r="AL55" s="161"/>
      <c r="AM55" s="169"/>
      <c r="AN55" s="189">
        <f t="shared" ref="AN55:BR55" si="77">SUBTOTAL(9,AN47:AN54)</f>
        <v>586694</v>
      </c>
      <c r="AO55" s="170">
        <f t="shared" si="77"/>
        <v>582192</v>
      </c>
      <c r="AP55" s="170">
        <f t="shared" si="77"/>
        <v>0</v>
      </c>
      <c r="AQ55" s="170">
        <f t="shared" si="77"/>
        <v>3902</v>
      </c>
      <c r="AR55" s="170">
        <f t="shared" si="77"/>
        <v>0</v>
      </c>
      <c r="AS55" s="170">
        <f t="shared" si="77"/>
        <v>0</v>
      </c>
      <c r="AT55" s="170">
        <f t="shared" si="77"/>
        <v>0</v>
      </c>
      <c r="AU55" s="170">
        <f t="shared" si="77"/>
        <v>600</v>
      </c>
      <c r="AV55" s="170">
        <f t="shared" si="77"/>
        <v>0</v>
      </c>
      <c r="AW55" s="170">
        <f t="shared" si="77"/>
        <v>0</v>
      </c>
      <c r="AX55" s="170">
        <f t="shared" si="77"/>
        <v>0</v>
      </c>
      <c r="AY55" s="170">
        <f t="shared" si="77"/>
        <v>0</v>
      </c>
      <c r="AZ55" s="170">
        <f t="shared" si="77"/>
        <v>0</v>
      </c>
      <c r="BA55" s="170">
        <f t="shared" si="77"/>
        <v>0</v>
      </c>
      <c r="BB55" s="170">
        <f t="shared" si="77"/>
        <v>0</v>
      </c>
      <c r="BC55" s="170">
        <f t="shared" si="77"/>
        <v>0</v>
      </c>
      <c r="BD55" s="170">
        <f t="shared" si="77"/>
        <v>1705</v>
      </c>
      <c r="BE55" s="170">
        <f t="shared" si="77"/>
        <v>1000</v>
      </c>
      <c r="BF55" s="170">
        <f t="shared" si="77"/>
        <v>1149.6000000000001</v>
      </c>
      <c r="BG55" s="170">
        <f t="shared" si="77"/>
        <v>1457</v>
      </c>
      <c r="BH55" s="170">
        <f t="shared" si="77"/>
        <v>41831</v>
      </c>
      <c r="BI55" s="170">
        <f t="shared" si="77"/>
        <v>1500</v>
      </c>
      <c r="BJ55" s="170">
        <f t="shared" si="77"/>
        <v>792</v>
      </c>
      <c r="BK55" s="170">
        <f t="shared" si="77"/>
        <v>99089</v>
      </c>
      <c r="BL55" s="170">
        <f t="shared" si="77"/>
        <v>601</v>
      </c>
      <c r="BM55" s="170">
        <f t="shared" si="77"/>
        <v>1008</v>
      </c>
      <c r="BN55" s="170">
        <f t="shared" si="77"/>
        <v>8511</v>
      </c>
      <c r="BO55" s="170">
        <f t="shared" si="77"/>
        <v>1055</v>
      </c>
      <c r="BP55" s="170">
        <f t="shared" si="77"/>
        <v>1500</v>
      </c>
      <c r="BQ55" s="170">
        <f t="shared" si="77"/>
        <v>0</v>
      </c>
      <c r="BR55" s="170">
        <f t="shared" si="77"/>
        <v>747892.59999999986</v>
      </c>
    </row>
    <row r="56" spans="1:70" outlineLevel="1" x14ac:dyDescent="0.35">
      <c r="A56" s="1" t="s">
        <v>6</v>
      </c>
      <c r="B56" s="1" t="s">
        <v>7</v>
      </c>
      <c r="C56" s="1" t="s">
        <v>8</v>
      </c>
      <c r="D56" s="1" t="s">
        <v>71</v>
      </c>
      <c r="E56" s="1" t="s">
        <v>47</v>
      </c>
      <c r="F56" s="2">
        <v>1</v>
      </c>
      <c r="G56" s="66">
        <v>1</v>
      </c>
      <c r="H56" s="66">
        <v>1</v>
      </c>
      <c r="I56" s="1" t="s">
        <v>611</v>
      </c>
      <c r="J56" s="1" t="s">
        <v>612</v>
      </c>
      <c r="K56" s="1" t="s">
        <v>82</v>
      </c>
      <c r="L56" s="76" t="str">
        <f>IF(M56="","N",STEP!$J$22)</f>
        <v>N</v>
      </c>
      <c r="M56" s="1" t="s">
        <v>11</v>
      </c>
      <c r="N56" s="1" t="s">
        <v>11</v>
      </c>
      <c r="O56" s="1" t="s">
        <v>11</v>
      </c>
      <c r="P56" s="1"/>
      <c r="Q56" s="185">
        <v>20210329</v>
      </c>
      <c r="R56" s="196">
        <v>44284</v>
      </c>
      <c r="S56" s="197">
        <f t="shared" ref="S56:S61" si="78">IF(A56="FT",IF(R56&gt;$S$1,0,(DATEDIF(R56,$S$1,"M"))),0)</f>
        <v>18</v>
      </c>
      <c r="T56" s="66">
        <f t="shared" ref="T56:T61" si="79">ROUNDDOWN(IF(A56="FT",DATEDIF(R56,$T$1,"y"),0),0)</f>
        <v>2</v>
      </c>
      <c r="U56" s="65" t="s">
        <v>11</v>
      </c>
      <c r="V56" s="70">
        <v>80.221199999999996</v>
      </c>
      <c r="W56" s="74"/>
      <c r="X56" s="70"/>
      <c r="Y56" s="74"/>
      <c r="Z56" s="1">
        <v>7720</v>
      </c>
      <c r="AA56" s="112">
        <f>VLOOKUP(Z56,'WRK COMP'!$A$1:$E$17,5,FALSE)</f>
        <v>1.1011E-2</v>
      </c>
      <c r="AB56" s="76" t="s">
        <v>13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12.5</v>
      </c>
      <c r="AI56" s="68">
        <v>0</v>
      </c>
      <c r="AJ56" s="1" t="s">
        <v>18</v>
      </c>
      <c r="AK56" s="1" t="s">
        <v>19</v>
      </c>
      <c r="AL56" s="10" t="s">
        <v>49</v>
      </c>
      <c r="AM56" s="78">
        <f>IF(F56&gt;0.79,IF(ROUNDUP(IF(B56="FS",(V56*HRS!$B$9),(V56*HRS!$L$2))*2,-3)&gt;150000,150000,(ROUNDUP(IF(B56="FS",(V56*HRS!$B$9),(V56*HRS!$L$2))*2,-3))),0)</f>
        <v>150000</v>
      </c>
      <c r="AN56" s="188">
        <f t="shared" ref="AN56:AN61" si="80">SUM(AO56:BB56)</f>
        <v>167461</v>
      </c>
      <c r="AO56" s="77">
        <f>IF(L56="N",IF(B56="FS",ROUNDUP($V56*HRS!$B$9*'Position Control'!F56,0),ROUNDUP('Position Control'!$V56*HRS!$L$2*'Position Control'!F56,0)),IF('Position Control'!B56="FS",ROUNDUP(('Position Control'!V56*HRS!$B$9*'Position Control'!W56*'Position Control'!F56)+('Position Control'!X56*HRS!$B$9*'Position Control'!Y56*'Position Control'!F56),0),ROUNDUP(('Position Control'!V56*HRS!$L$2*'Position Control'!W56*'Position Control'!F56)+('Position Control'!X56*HRS!$L$2*'Position Control'!Y56*'Position Control'!F56),0)))*'Position Control'!H56</f>
        <v>166861</v>
      </c>
      <c r="AP56" s="77">
        <f t="shared" ref="AP56:AP61" si="81">ROUNDUP(52*AC56,0)*H56</f>
        <v>0</v>
      </c>
      <c r="AQ56" s="77">
        <f t="shared" ref="AQ56:AQ61" si="82">IF(B56="FS",ROUNDUP(24*AD56,0),IF(B56="POL",ROUNDUP(26*AD56,0),ROUNDUP(52*AD56,0)))*$H56</f>
        <v>0</v>
      </c>
      <c r="AR56" s="77">
        <f t="shared" ref="AR56:AR61" si="83">IF(B56="FS",ROUNDUP(AG56*24,0),ROUNDUP(52*AG56,0))*H56</f>
        <v>0</v>
      </c>
      <c r="AS56" s="77">
        <v>0</v>
      </c>
      <c r="AT56" s="79">
        <f t="shared" ref="AT56:AT61" si="84">ROUNDUP(26*AF56,0)*H56</f>
        <v>0</v>
      </c>
      <c r="AU56" s="77">
        <f t="shared" ref="AU56:AU61" si="85">IF(B56="FS",ROUNDUP(24*AH56,0),IF(B56="POL",ROUNDUP(26*AH56,0),ROUNDUP(48*AH56,0)))*$H56</f>
        <v>600</v>
      </c>
      <c r="AV56" s="77">
        <v>0</v>
      </c>
      <c r="AW56" s="77">
        <f t="shared" ref="AW56:AW61" si="86">IF(B56="FS",ROUNDUP(24*AE56,0),IF(B56="POL",ROUNDUP(26*AE56,0),ROUNDUP(52*AE56,0)))*$H56</f>
        <v>0</v>
      </c>
      <c r="AX56" s="77">
        <f t="shared" ref="AX56:AX61" si="87">IF(AND(Q56&lt;20220401,A56&lt;&gt;"SP"),($AX$3*(AO56+BE56)),0)</f>
        <v>0</v>
      </c>
      <c r="AY56" s="77">
        <f t="shared" ref="AY56:AY61" si="88">IF(AND($L56="N",$Q56&lt;20220401,$A56&lt;&gt;"SP",$AO56&lt;100000),($AY$3*($AO56+$BE56)),0)</f>
        <v>0</v>
      </c>
      <c r="AZ56" s="77">
        <f t="shared" ref="AZ56:AZ61" si="89">IF(AND($L56="N",$Q56&lt;20220401,$A56&lt;&gt;"SP",$AO56&gt;100000),($AZ$3*($AO56+$BE56)),0)</f>
        <v>0</v>
      </c>
      <c r="BA56" s="77">
        <f t="shared" ref="BA56:BA61" si="90">IF(AND($L56="N",$Q56&lt;20220401,$A56&lt;&gt;"SP"),($BA$3*($AO56+$BE56)),0)</f>
        <v>0</v>
      </c>
      <c r="BB56" s="77">
        <f t="shared" ref="BB56:BB61" si="91">IF(AND($L56="Y",$Q56&lt;20220401,$A56&lt;&gt;"SP"),($BB$3*($AO56+$BE56)),0)</f>
        <v>0</v>
      </c>
      <c r="BC56" s="77">
        <f t="shared" si="30"/>
        <v>0</v>
      </c>
      <c r="BD56" s="77">
        <f t="shared" ref="BD56:BD61" si="92">IF($S56&gt;=12,IF(($S56*5)&gt;1200,1200,$S56*5),0)*$H56</f>
        <v>90</v>
      </c>
      <c r="BE56" s="77">
        <v>0</v>
      </c>
      <c r="BF56" s="77">
        <f t="shared" ref="BF56:BF61" si="93">$AM56*$BF$3*12*$H56</f>
        <v>180</v>
      </c>
      <c r="BG56" s="77">
        <f>VLOOKUP($AJ56,BENE!$I$2:$N$9,6,FALSE)*'Position Control'!$H56</f>
        <v>760</v>
      </c>
      <c r="BH56" s="77">
        <f>VLOOKUP($AK56,BENE!$A$2:$F$19,6,FALSE)*'Position Control'!$H56</f>
        <v>20439</v>
      </c>
      <c r="BI56" s="77">
        <f>VLOOKUP($AK56,BENE!$A$2:$G$19,7,FALSE)*'Position Control'!$H56</f>
        <v>0</v>
      </c>
      <c r="BJ56" s="77">
        <f>VLOOKUP($AL56,BENE!$P$2:$S$6,4,FALSE)*'Position Control'!$H56</f>
        <v>0</v>
      </c>
      <c r="BK56" s="77">
        <f>IF($F56&gt;HRS!$H$2,ROUNDUP(((($AN56+$BE56)*$BK$3)/12*9)+(($AN56+$BE56)*HRS!$B$10/12*3),0),0)*$H56</f>
        <v>28234</v>
      </c>
      <c r="BL56" s="80">
        <f t="shared" ref="BL56:BL61" si="94">ROUNDUP($AN56*$AA56,0)*$H56</f>
        <v>1844</v>
      </c>
      <c r="BM56" s="77">
        <f t="shared" ref="BM56:BM61" si="95">ROUNDUP(IF($AN56&gt;9000,$BM$3*9000,$BM$3*$AN56),0)*$H56</f>
        <v>144</v>
      </c>
      <c r="BN56" s="77">
        <f t="shared" ref="BN56:BN61" si="96">IF($AB56="Y",ROUNDUP($AN56*$BN$3,0),0)*$H56</f>
        <v>2429</v>
      </c>
      <c r="BO56" s="77">
        <f t="shared" ref="BO56:BO61" si="97">IF($A56&lt;&gt;"SP",ROUND($BO$3*$AN56,0)*$H56,0)</f>
        <v>301</v>
      </c>
      <c r="BP56" s="77">
        <f t="shared" ref="BP56:BP61" si="98">IF($T56&gt;24,2000,IF($T56&gt;19,1750,IF($T56&gt;14,1500,IF($T56&gt;9.9999999999999,1000,0))))*$H56</f>
        <v>0</v>
      </c>
      <c r="BQ56" s="77">
        <v>0</v>
      </c>
      <c r="BR56" s="80">
        <f t="shared" ref="BR56:BR61" si="99">SUM(AO56:AW56)+SUM(BC56:BQ56)</f>
        <v>221882</v>
      </c>
    </row>
    <row r="57" spans="1:70" outlineLevel="1" x14ac:dyDescent="0.35">
      <c r="A57" s="1" t="s">
        <v>6</v>
      </c>
      <c r="B57" s="1" t="s">
        <v>7</v>
      </c>
      <c r="C57" s="1" t="s">
        <v>8</v>
      </c>
      <c r="D57" s="1" t="s">
        <v>71</v>
      </c>
      <c r="E57" s="1" t="s">
        <v>47</v>
      </c>
      <c r="F57" s="2">
        <v>1</v>
      </c>
      <c r="G57" s="66">
        <v>1</v>
      </c>
      <c r="H57" s="66">
        <v>1</v>
      </c>
      <c r="I57" s="1" t="s">
        <v>611</v>
      </c>
      <c r="J57" s="1" t="s">
        <v>612</v>
      </c>
      <c r="K57" s="1" t="s">
        <v>77</v>
      </c>
      <c r="L57" s="76" t="str">
        <f>IF(M57="","N",STEP!$J$22)</f>
        <v>Y</v>
      </c>
      <c r="M57" s="1" t="s">
        <v>607</v>
      </c>
      <c r="N57" s="1" t="s">
        <v>608</v>
      </c>
      <c r="O57" s="1">
        <v>1</v>
      </c>
      <c r="P57" s="1">
        <v>2</v>
      </c>
      <c r="Q57" s="185">
        <v>20210712</v>
      </c>
      <c r="R57" s="196">
        <v>44389</v>
      </c>
      <c r="S57" s="197">
        <f t="shared" si="78"/>
        <v>14</v>
      </c>
      <c r="T57" s="66">
        <f t="shared" si="79"/>
        <v>2</v>
      </c>
      <c r="U57" s="65">
        <v>20220712</v>
      </c>
      <c r="V57" s="210">
        <v>61.2864</v>
      </c>
      <c r="W57" s="74">
        <f t="shared" ref="W57:W85" si="100">IF(U57="","",(1-Y57))</f>
        <v>0.97109999999999996</v>
      </c>
      <c r="X57" s="70" cm="1">
        <f t="array" ref="X57">IF(U57="","",INDEX(STEP!$C:$C,MATCH('Position Control'!M57&amp;'Position Control'!P57,STEP!$A:$A&amp;STEP!$B:$B,0)))</f>
        <v>64.350700000000003</v>
      </c>
      <c r="Y57" s="74">
        <f>IF(L57="Y",(20221001-U57)/10000,"")</f>
        <v>2.8899999999999999E-2</v>
      </c>
      <c r="Z57" s="1">
        <v>7720</v>
      </c>
      <c r="AA57" s="112">
        <f>VLOOKUP(Z57,'WRK COMP'!$A$1:$E$17,5,FALSE)</f>
        <v>1.1011E-2</v>
      </c>
      <c r="AB57" s="76" t="s">
        <v>13</v>
      </c>
      <c r="AC57" s="68">
        <v>0</v>
      </c>
      <c r="AD57" s="68">
        <v>46.15</v>
      </c>
      <c r="AE57" s="68">
        <v>0</v>
      </c>
      <c r="AF57" s="68">
        <v>0</v>
      </c>
      <c r="AG57" s="68">
        <v>0</v>
      </c>
      <c r="AH57" s="68">
        <v>12.5</v>
      </c>
      <c r="AI57" s="68">
        <v>0</v>
      </c>
      <c r="AJ57" s="1" t="s">
        <v>18</v>
      </c>
      <c r="AK57" s="1" t="s">
        <v>78</v>
      </c>
      <c r="AL57" s="10" t="s">
        <v>49</v>
      </c>
      <c r="AM57" s="78">
        <f>IF(F57&gt;0.79,IF(ROUNDUP(IF(B57="FS",(V57*HRS!$B$9),(V57*HRS!$L$2))*2,-3)&gt;150000,150000,(ROUNDUP(IF(B57="FS",(V57*HRS!$B$9),(V57*HRS!$L$2))*2,-3))),0)</f>
        <v>150000</v>
      </c>
      <c r="AN57" s="188">
        <f t="shared" si="80"/>
        <v>130660</v>
      </c>
      <c r="AO57" s="77">
        <f>IF(L57="N",IF(B57="FS",ROUNDUP($V57*HRS!$B$9*'Position Control'!F57,0),ROUNDUP('Position Control'!$V57*HRS!$L$2*'Position Control'!F57,0)),IF('Position Control'!B57="FS",ROUNDUP(('Position Control'!V57*HRS!$B$9*'Position Control'!W57*'Position Control'!F57)+('Position Control'!X57*HRS!$B$9*'Position Control'!Y57*'Position Control'!F57),0),ROUNDUP(('Position Control'!V57*HRS!$L$2*'Position Control'!W57*'Position Control'!F57)+('Position Control'!X57*HRS!$L$2*'Position Control'!Y57*'Position Control'!F57),0)))*'Position Control'!H57</f>
        <v>127660</v>
      </c>
      <c r="AP57" s="77">
        <f t="shared" si="81"/>
        <v>0</v>
      </c>
      <c r="AQ57" s="77">
        <f t="shared" si="82"/>
        <v>2400</v>
      </c>
      <c r="AR57" s="77">
        <f t="shared" si="83"/>
        <v>0</v>
      </c>
      <c r="AS57" s="77">
        <v>0</v>
      </c>
      <c r="AT57" s="79">
        <f t="shared" si="84"/>
        <v>0</v>
      </c>
      <c r="AU57" s="77">
        <f t="shared" si="85"/>
        <v>600</v>
      </c>
      <c r="AV57" s="77">
        <v>0</v>
      </c>
      <c r="AW57" s="77">
        <f t="shared" si="86"/>
        <v>0</v>
      </c>
      <c r="AX57" s="77">
        <f t="shared" si="87"/>
        <v>0</v>
      </c>
      <c r="AY57" s="77">
        <f t="shared" si="88"/>
        <v>0</v>
      </c>
      <c r="AZ57" s="77">
        <f t="shared" si="89"/>
        <v>0</v>
      </c>
      <c r="BA57" s="77">
        <f t="shared" si="90"/>
        <v>0</v>
      </c>
      <c r="BB57" s="77">
        <f t="shared" si="91"/>
        <v>0</v>
      </c>
      <c r="BC57" s="77">
        <f t="shared" si="30"/>
        <v>0</v>
      </c>
      <c r="BD57" s="77">
        <f t="shared" si="92"/>
        <v>70</v>
      </c>
      <c r="BE57" s="77">
        <v>0</v>
      </c>
      <c r="BF57" s="77">
        <f t="shared" si="93"/>
        <v>180</v>
      </c>
      <c r="BG57" s="77">
        <f>VLOOKUP($AJ57,BENE!$I$2:$N$9,6,FALSE)*'Position Control'!$H57</f>
        <v>760</v>
      </c>
      <c r="BH57" s="77">
        <f>VLOOKUP($AK57,BENE!$A$2:$F$19,6,FALSE)*'Position Control'!$H57</f>
        <v>18024</v>
      </c>
      <c r="BI57" s="77">
        <f>VLOOKUP($AK57,BENE!$A$2:$G$19,7,FALSE)*'Position Control'!$H57</f>
        <v>0</v>
      </c>
      <c r="BJ57" s="77">
        <f>VLOOKUP($AL57,BENE!$P$2:$S$6,4,FALSE)*'Position Control'!$H57</f>
        <v>0</v>
      </c>
      <c r="BK57" s="77">
        <f>IF($F57&gt;HRS!$H$2,ROUNDUP(((($AN57+$BE57)*$BK$3)/12*9)+(($AN57+$BE57)*HRS!$B$10/12*3),0),0)*$H57</f>
        <v>22030</v>
      </c>
      <c r="BL57" s="80">
        <f t="shared" si="94"/>
        <v>1439</v>
      </c>
      <c r="BM57" s="77">
        <f t="shared" si="95"/>
        <v>144</v>
      </c>
      <c r="BN57" s="77">
        <f t="shared" si="96"/>
        <v>1895</v>
      </c>
      <c r="BO57" s="77">
        <f t="shared" si="97"/>
        <v>235</v>
      </c>
      <c r="BP57" s="77">
        <f t="shared" si="98"/>
        <v>0</v>
      </c>
      <c r="BQ57" s="77">
        <v>0</v>
      </c>
      <c r="BR57" s="80">
        <f t="shared" si="99"/>
        <v>175437</v>
      </c>
    </row>
    <row r="58" spans="1:70" outlineLevel="1" x14ac:dyDescent="0.35">
      <c r="A58" s="1" t="s">
        <v>6</v>
      </c>
      <c r="B58" s="1" t="s">
        <v>74</v>
      </c>
      <c r="C58" s="1" t="s">
        <v>8</v>
      </c>
      <c r="D58" s="1" t="s">
        <v>71</v>
      </c>
      <c r="E58" s="1" t="s">
        <v>47</v>
      </c>
      <c r="F58" s="2">
        <v>1</v>
      </c>
      <c r="G58" s="66">
        <v>1</v>
      </c>
      <c r="H58" s="66">
        <v>1</v>
      </c>
      <c r="I58" s="1" t="s">
        <v>611</v>
      </c>
      <c r="J58" s="1" t="s">
        <v>612</v>
      </c>
      <c r="K58" s="1" t="s">
        <v>594</v>
      </c>
      <c r="L58" s="76" t="str">
        <f>IF(M58="","N",STEP!$J$22)</f>
        <v>Y</v>
      </c>
      <c r="M58" s="1" t="s">
        <v>129</v>
      </c>
      <c r="N58" s="1" t="s">
        <v>130</v>
      </c>
      <c r="O58" s="1">
        <v>1</v>
      </c>
      <c r="P58" s="1">
        <v>2</v>
      </c>
      <c r="Q58" s="185">
        <v>19980702</v>
      </c>
      <c r="R58" s="196">
        <v>35978</v>
      </c>
      <c r="S58" s="197">
        <f t="shared" si="78"/>
        <v>290</v>
      </c>
      <c r="T58" s="66">
        <f t="shared" si="79"/>
        <v>25</v>
      </c>
      <c r="U58" s="65">
        <v>20220514</v>
      </c>
      <c r="V58" s="70">
        <v>50.987000000000002</v>
      </c>
      <c r="W58" s="74">
        <f t="shared" si="100"/>
        <v>0.95130000000000003</v>
      </c>
      <c r="X58" s="70" cm="1">
        <f t="array" ref="X58">IF(U58="","",INDEX(STEP!$C:$C,MATCH('Position Control'!M58&amp;'Position Control'!P58,STEP!$A:$A&amp;STEP!$B:$B,0)))</f>
        <v>52.516599999999997</v>
      </c>
      <c r="Y58" s="74">
        <f>IF(L58="Y",(20221001-U58)/10000,"")</f>
        <v>4.87E-2</v>
      </c>
      <c r="Z58" s="1">
        <v>7720</v>
      </c>
      <c r="AA58" s="112">
        <f>VLOOKUP(Z58,'WRK COMP'!$A$1:$E$17,5,FALSE)</f>
        <v>1.1011E-2</v>
      </c>
      <c r="AB58" s="76" t="s">
        <v>13</v>
      </c>
      <c r="AC58" s="68">
        <v>0</v>
      </c>
      <c r="AD58" s="68">
        <v>46.15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9" t="s">
        <v>49</v>
      </c>
      <c r="AK58" s="1" t="s">
        <v>15</v>
      </c>
      <c r="AL58" s="1" t="s">
        <v>16</v>
      </c>
      <c r="AM58" s="78">
        <f>IF(F58&gt;0.79,IF(ROUNDUP(IF(B58="FS",(V58*HRS!$B$9),(V58*HRS!$L$2))*2,-3)&gt;150000,150000,(ROUNDUP(IF(B58="FS",(V58*HRS!$B$9),(V58*HRS!$L$2))*2,-3))),0)</f>
        <v>150000</v>
      </c>
      <c r="AN58" s="188">
        <f t="shared" si="80"/>
        <v>107408</v>
      </c>
      <c r="AO58" s="77">
        <f>IF(L58="N",IF(B58="FS",ROUNDUP($V58*HRS!$B$9*'Position Control'!F58,0),ROUNDUP('Position Control'!$V58*HRS!$L$2*'Position Control'!F58,0)),IF('Position Control'!B58="FS",ROUNDUP(('Position Control'!V58*HRS!$B$9*'Position Control'!W58*'Position Control'!F58)+('Position Control'!X58*HRS!$B$9*'Position Control'!Y58*'Position Control'!F58),0),ROUNDUP(('Position Control'!V58*HRS!$L$2*'Position Control'!W58*'Position Control'!F58)+('Position Control'!X58*HRS!$L$2*'Position Control'!Y58*'Position Control'!F58),0)))*'Position Control'!H58</f>
        <v>106208</v>
      </c>
      <c r="AP58" s="77">
        <f t="shared" si="81"/>
        <v>0</v>
      </c>
      <c r="AQ58" s="77">
        <f t="shared" si="82"/>
        <v>1200</v>
      </c>
      <c r="AR58" s="77">
        <f t="shared" si="83"/>
        <v>0</v>
      </c>
      <c r="AS58" s="77">
        <v>0</v>
      </c>
      <c r="AT58" s="79">
        <f t="shared" si="84"/>
        <v>0</v>
      </c>
      <c r="AU58" s="77">
        <f t="shared" si="85"/>
        <v>0</v>
      </c>
      <c r="AV58" s="77">
        <v>0</v>
      </c>
      <c r="AW58" s="77">
        <f t="shared" si="86"/>
        <v>0</v>
      </c>
      <c r="AX58" s="77">
        <f t="shared" si="87"/>
        <v>0</v>
      </c>
      <c r="AY58" s="77">
        <f t="shared" si="88"/>
        <v>0</v>
      </c>
      <c r="AZ58" s="77">
        <f t="shared" si="89"/>
        <v>0</v>
      </c>
      <c r="BA58" s="77">
        <f t="shared" si="90"/>
        <v>0</v>
      </c>
      <c r="BB58" s="77">
        <f t="shared" si="91"/>
        <v>0</v>
      </c>
      <c r="BC58" s="77">
        <f t="shared" si="30"/>
        <v>0</v>
      </c>
      <c r="BD58" s="77">
        <f t="shared" si="92"/>
        <v>1200</v>
      </c>
      <c r="BE58" s="77">
        <v>0</v>
      </c>
      <c r="BF58" s="77">
        <f t="shared" si="93"/>
        <v>180</v>
      </c>
      <c r="BG58" s="77">
        <f>VLOOKUP($AJ58,BENE!$I$2:$N$9,6,FALSE)*'Position Control'!$H58</f>
        <v>0</v>
      </c>
      <c r="BH58" s="77">
        <f>VLOOKUP($AK58,BENE!$A$2:$F$19,6,FALSE)*'Position Control'!$H58</f>
        <v>6142</v>
      </c>
      <c r="BI58" s="77">
        <f>VLOOKUP($AK58,BENE!$A$2:$G$19,7,FALSE)*'Position Control'!$H58</f>
        <v>1000</v>
      </c>
      <c r="BJ58" s="77">
        <f>VLOOKUP($AL58,BENE!$P$2:$S$6,4,FALSE)*'Position Control'!$H58</f>
        <v>240</v>
      </c>
      <c r="BK58" s="77">
        <f>IF($F58&gt;HRS!$H$2,ROUNDUP(((($AN58+$BE58)*$BK$3)/12*9)+(($AN58+$BE58)*HRS!$B$10/12*3),0),0)*$H58</f>
        <v>18109</v>
      </c>
      <c r="BL58" s="80">
        <f t="shared" si="94"/>
        <v>1183</v>
      </c>
      <c r="BM58" s="77">
        <f t="shared" si="95"/>
        <v>144</v>
      </c>
      <c r="BN58" s="77">
        <f t="shared" si="96"/>
        <v>1558</v>
      </c>
      <c r="BO58" s="77">
        <f t="shared" si="97"/>
        <v>193</v>
      </c>
      <c r="BP58" s="77">
        <f t="shared" si="98"/>
        <v>2000</v>
      </c>
      <c r="BQ58" s="77">
        <v>0</v>
      </c>
      <c r="BR58" s="80">
        <f t="shared" si="99"/>
        <v>139357</v>
      </c>
    </row>
    <row r="59" spans="1:70" outlineLevel="1" x14ac:dyDescent="0.35">
      <c r="A59" s="1" t="s">
        <v>6</v>
      </c>
      <c r="B59" s="1" t="s">
        <v>7</v>
      </c>
      <c r="C59" s="1" t="s">
        <v>8</v>
      </c>
      <c r="D59" s="1" t="s">
        <v>71</v>
      </c>
      <c r="E59" s="1" t="s">
        <v>47</v>
      </c>
      <c r="F59" s="2">
        <v>1</v>
      </c>
      <c r="G59" s="66">
        <v>1</v>
      </c>
      <c r="H59" s="66">
        <v>1</v>
      </c>
      <c r="I59" s="1" t="s">
        <v>611</v>
      </c>
      <c r="J59" s="1" t="s">
        <v>612</v>
      </c>
      <c r="K59" s="1" t="s">
        <v>73</v>
      </c>
      <c r="L59" s="76" t="str">
        <f>IF(M59="","N",STEP!$J$22)</f>
        <v>N</v>
      </c>
      <c r="M59" s="1" t="s">
        <v>11</v>
      </c>
      <c r="N59" s="1" t="s">
        <v>11</v>
      </c>
      <c r="O59" s="1" t="s">
        <v>11</v>
      </c>
      <c r="P59" s="1"/>
      <c r="Q59" s="185">
        <v>20110428</v>
      </c>
      <c r="R59" s="196">
        <v>40661</v>
      </c>
      <c r="S59" s="197">
        <f t="shared" si="78"/>
        <v>137</v>
      </c>
      <c r="T59" s="66">
        <f t="shared" si="79"/>
        <v>12</v>
      </c>
      <c r="U59" s="1"/>
      <c r="V59" s="70">
        <v>30.365400000000001</v>
      </c>
      <c r="W59" s="74" t="str">
        <f t="shared" si="100"/>
        <v/>
      </c>
      <c r="X59" s="70" t="str" cm="1">
        <f t="array" ref="X59">IF(U59="","",INDEX(STEP!$C:$C,MATCH('Position Control'!M59&amp;'Position Control'!P59,STEP!$A:$A&amp;STEP!$B:$B,0)))</f>
        <v/>
      </c>
      <c r="Y59" s="74" t="str">
        <f>IF(L59="Y",(20221001-U59)/10000,"")</f>
        <v/>
      </c>
      <c r="Z59" s="1">
        <v>8810</v>
      </c>
      <c r="AA59" s="112">
        <f>VLOOKUP(Z59,'WRK COMP'!$A$1:$E$17,5,FALSE)</f>
        <v>1.0169999999999999E-3</v>
      </c>
      <c r="AB59" s="76" t="s">
        <v>13</v>
      </c>
      <c r="AC59" s="68">
        <v>0</v>
      </c>
      <c r="AD59" s="68">
        <v>28.85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1" t="s">
        <v>14</v>
      </c>
      <c r="AK59" s="1" t="s">
        <v>15</v>
      </c>
      <c r="AL59" s="1" t="s">
        <v>16</v>
      </c>
      <c r="AM59" s="78">
        <f>IF(F59&gt;0.79,IF(ROUNDUP(IF(B59="FS",(V59*HRS!$B$9),(V59*HRS!$L$2))*2,-3)&gt;150000,150000,(ROUNDUP(IF(B59="FS",(V59*HRS!$B$9),(V59*HRS!$L$2))*2,-3))),0)</f>
        <v>127000</v>
      </c>
      <c r="AN59" s="188">
        <f t="shared" si="80"/>
        <v>64662</v>
      </c>
      <c r="AO59" s="77">
        <f>IF(L59="N",IF(B59="FS",ROUNDUP($V59*HRS!$B$9*'Position Control'!F59,0),ROUNDUP('Position Control'!$V59*HRS!$L$2*'Position Control'!F59,0)),IF('Position Control'!B59="FS",ROUNDUP(('Position Control'!V59*HRS!$B$9*'Position Control'!W59*'Position Control'!F59)+('Position Control'!X59*HRS!$B$9*'Position Control'!Y59*'Position Control'!F59),0),ROUNDUP(('Position Control'!V59*HRS!$L$2*'Position Control'!W59*'Position Control'!F59)+('Position Control'!X59*HRS!$L$2*'Position Control'!Y59*'Position Control'!F59),0)))*'Position Control'!H59</f>
        <v>63161</v>
      </c>
      <c r="AP59" s="77">
        <f t="shared" si="81"/>
        <v>0</v>
      </c>
      <c r="AQ59" s="77">
        <f t="shared" si="82"/>
        <v>1501</v>
      </c>
      <c r="AR59" s="77">
        <f t="shared" si="83"/>
        <v>0</v>
      </c>
      <c r="AS59" s="77">
        <v>0</v>
      </c>
      <c r="AT59" s="79">
        <f t="shared" si="84"/>
        <v>0</v>
      </c>
      <c r="AU59" s="77">
        <f t="shared" si="85"/>
        <v>0</v>
      </c>
      <c r="AV59" s="77">
        <v>0</v>
      </c>
      <c r="AW59" s="77">
        <f t="shared" si="86"/>
        <v>0</v>
      </c>
      <c r="AX59" s="77">
        <f t="shared" si="87"/>
        <v>0</v>
      </c>
      <c r="AY59" s="77">
        <f t="shared" si="88"/>
        <v>0</v>
      </c>
      <c r="AZ59" s="77">
        <f t="shared" si="89"/>
        <v>0</v>
      </c>
      <c r="BA59" s="77">
        <f t="shared" si="90"/>
        <v>0</v>
      </c>
      <c r="BB59" s="77">
        <f t="shared" si="91"/>
        <v>0</v>
      </c>
      <c r="BC59" s="77">
        <f t="shared" si="30"/>
        <v>0</v>
      </c>
      <c r="BD59" s="77">
        <f t="shared" si="92"/>
        <v>685</v>
      </c>
      <c r="BE59" s="77">
        <v>0</v>
      </c>
      <c r="BF59" s="77">
        <f t="shared" si="93"/>
        <v>152.4</v>
      </c>
      <c r="BG59" s="77">
        <f>VLOOKUP($AJ59,BENE!$I$2:$N$9,6,FALSE)*'Position Control'!$H59</f>
        <v>389</v>
      </c>
      <c r="BH59" s="77">
        <f>VLOOKUP($AK59,BENE!$A$2:$F$19,6,FALSE)*'Position Control'!$H59</f>
        <v>6142</v>
      </c>
      <c r="BI59" s="77">
        <f>VLOOKUP($AK59,BENE!$A$2:$G$19,7,FALSE)*'Position Control'!$H59</f>
        <v>1000</v>
      </c>
      <c r="BJ59" s="77">
        <f>VLOOKUP($AL59,BENE!$P$2:$S$6,4,FALSE)*'Position Control'!$H59</f>
        <v>240</v>
      </c>
      <c r="BK59" s="77">
        <f>IF($F59&gt;HRS!$H$2,ROUNDUP(((($AN59+$BE59)*$BK$3)/12*9)+(($AN59+$BE59)*HRS!$B$10/12*3),0),0)*$H59</f>
        <v>10903</v>
      </c>
      <c r="BL59" s="80">
        <f t="shared" si="94"/>
        <v>66</v>
      </c>
      <c r="BM59" s="77">
        <f t="shared" si="95"/>
        <v>144</v>
      </c>
      <c r="BN59" s="77">
        <f t="shared" si="96"/>
        <v>938</v>
      </c>
      <c r="BO59" s="77">
        <f t="shared" si="97"/>
        <v>116</v>
      </c>
      <c r="BP59" s="77">
        <f t="shared" si="98"/>
        <v>1000</v>
      </c>
      <c r="BQ59" s="77">
        <v>0</v>
      </c>
      <c r="BR59" s="80">
        <f t="shared" si="99"/>
        <v>86437.4</v>
      </c>
    </row>
    <row r="60" spans="1:70" outlineLevel="1" x14ac:dyDescent="0.35">
      <c r="A60" s="1" t="s">
        <v>6</v>
      </c>
      <c r="B60" s="1" t="s">
        <v>7</v>
      </c>
      <c r="C60" s="1" t="s">
        <v>8</v>
      </c>
      <c r="D60" s="1" t="s">
        <v>71</v>
      </c>
      <c r="E60" s="1" t="s">
        <v>47</v>
      </c>
      <c r="F60" s="2">
        <v>1</v>
      </c>
      <c r="G60" s="66">
        <v>1</v>
      </c>
      <c r="H60" s="66">
        <v>1</v>
      </c>
      <c r="I60" s="1" t="s">
        <v>611</v>
      </c>
      <c r="J60" s="1" t="s">
        <v>612</v>
      </c>
      <c r="K60" s="1" t="s">
        <v>72</v>
      </c>
      <c r="L60" s="76" t="str">
        <f>IF(M60="","N",STEP!$J$22)</f>
        <v>N</v>
      </c>
      <c r="M60" s="1" t="s">
        <v>11</v>
      </c>
      <c r="N60" s="1" t="s">
        <v>11</v>
      </c>
      <c r="O60" s="1" t="s">
        <v>11</v>
      </c>
      <c r="P60" s="1"/>
      <c r="Q60" s="185">
        <v>19990621</v>
      </c>
      <c r="R60" s="196">
        <v>36332</v>
      </c>
      <c r="S60" s="197">
        <f t="shared" si="78"/>
        <v>279</v>
      </c>
      <c r="T60" s="66">
        <f t="shared" si="79"/>
        <v>24</v>
      </c>
      <c r="U60" s="1"/>
      <c r="V60" s="70">
        <v>46.476199999999999</v>
      </c>
      <c r="W60" s="74" t="str">
        <f t="shared" si="100"/>
        <v/>
      </c>
      <c r="X60" s="70" t="str" cm="1">
        <f t="array" ref="X60">IF(U60="","",INDEX(STEP!$C:$C,MATCH('Position Control'!M60&amp;'Position Control'!P60,STEP!$A:$A&amp;STEP!$B:$B,0)))</f>
        <v/>
      </c>
      <c r="Y60" s="74" t="str">
        <f>IF(L60="Y",(20221001-U60)/10000,"")</f>
        <v/>
      </c>
      <c r="Z60" s="1">
        <v>8810</v>
      </c>
      <c r="AA60" s="112">
        <f>VLOOKUP(Z60,'WRK COMP'!$A$1:$E$17,5,FALSE)</f>
        <v>1.0169999999999999E-3</v>
      </c>
      <c r="AB60" s="76" t="s">
        <v>13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0</v>
      </c>
      <c r="AJ60" s="1" t="s">
        <v>14</v>
      </c>
      <c r="AK60" s="1" t="s">
        <v>15</v>
      </c>
      <c r="AL60" s="1" t="s">
        <v>53</v>
      </c>
      <c r="AM60" s="78">
        <f>IF(F60&gt;0.79,IF(ROUNDUP(IF(B60="FS",(V60*HRS!$B$9),(V60*HRS!$L$2))*2,-3)&gt;150000,150000,(ROUNDUP(IF(B60="FS",(V60*HRS!$B$9),(V60*HRS!$L$2))*2,-3))),0)</f>
        <v>150000</v>
      </c>
      <c r="AN60" s="188">
        <f t="shared" si="80"/>
        <v>96671</v>
      </c>
      <c r="AO60" s="77">
        <f>IF(L60="N",IF(B60="FS",ROUNDUP($V60*HRS!$B$9*'Position Control'!F60,0),ROUNDUP('Position Control'!$V60*HRS!$L$2*'Position Control'!F60,0)),IF('Position Control'!B60="FS",ROUNDUP(('Position Control'!V60*HRS!$B$9*'Position Control'!W60*'Position Control'!F60)+('Position Control'!X60*HRS!$B$9*'Position Control'!Y60*'Position Control'!F60),0),ROUNDUP(('Position Control'!V60*HRS!$L$2*'Position Control'!W60*'Position Control'!F60)+('Position Control'!X60*HRS!$L$2*'Position Control'!Y60*'Position Control'!F60),0)))*'Position Control'!H60</f>
        <v>96671</v>
      </c>
      <c r="AP60" s="77">
        <f t="shared" si="81"/>
        <v>0</v>
      </c>
      <c r="AQ60" s="77">
        <f t="shared" si="82"/>
        <v>0</v>
      </c>
      <c r="AR60" s="77">
        <f t="shared" si="83"/>
        <v>0</v>
      </c>
      <c r="AS60" s="77">
        <v>0</v>
      </c>
      <c r="AT60" s="79">
        <f t="shared" si="84"/>
        <v>0</v>
      </c>
      <c r="AU60" s="77">
        <f t="shared" si="85"/>
        <v>0</v>
      </c>
      <c r="AV60" s="77">
        <v>0</v>
      </c>
      <c r="AW60" s="77">
        <f t="shared" si="86"/>
        <v>0</v>
      </c>
      <c r="AX60" s="77">
        <f t="shared" si="87"/>
        <v>0</v>
      </c>
      <c r="AY60" s="77">
        <f t="shared" si="88"/>
        <v>0</v>
      </c>
      <c r="AZ60" s="77">
        <f t="shared" si="89"/>
        <v>0</v>
      </c>
      <c r="BA60" s="77">
        <f t="shared" si="90"/>
        <v>0</v>
      </c>
      <c r="BB60" s="77">
        <f t="shared" si="91"/>
        <v>0</v>
      </c>
      <c r="BC60" s="77">
        <f t="shared" si="30"/>
        <v>0</v>
      </c>
      <c r="BD60" s="77">
        <f t="shared" si="92"/>
        <v>1200</v>
      </c>
      <c r="BE60" s="77">
        <v>0</v>
      </c>
      <c r="BF60" s="77">
        <f t="shared" si="93"/>
        <v>180</v>
      </c>
      <c r="BG60" s="77">
        <f>VLOOKUP($AJ60,BENE!$I$2:$N$9,6,FALSE)*'Position Control'!$H60</f>
        <v>389</v>
      </c>
      <c r="BH60" s="77">
        <f>VLOOKUP($AK60,BENE!$A$2:$F$19,6,FALSE)*'Position Control'!$H60</f>
        <v>6142</v>
      </c>
      <c r="BI60" s="77">
        <f>VLOOKUP($AK60,BENE!$A$2:$G$19,7,FALSE)*'Position Control'!$H60</f>
        <v>1000</v>
      </c>
      <c r="BJ60" s="77">
        <f>VLOOKUP($AL60,BENE!$P$2:$S$6,4,FALSE)*'Position Control'!$H60</f>
        <v>372</v>
      </c>
      <c r="BK60" s="77">
        <f>IF($F60&gt;HRS!$H$2,ROUNDUP(((($AN60+$BE60)*$BK$3)/12*9)+(($AN60+$BE60)*HRS!$B$10/12*3),0),0)*$H60</f>
        <v>16299</v>
      </c>
      <c r="BL60" s="80">
        <f t="shared" si="94"/>
        <v>99</v>
      </c>
      <c r="BM60" s="77">
        <f t="shared" si="95"/>
        <v>144</v>
      </c>
      <c r="BN60" s="77">
        <f t="shared" si="96"/>
        <v>1402</v>
      </c>
      <c r="BO60" s="77">
        <f t="shared" si="97"/>
        <v>174</v>
      </c>
      <c r="BP60" s="77">
        <f t="shared" si="98"/>
        <v>1750</v>
      </c>
      <c r="BQ60" s="77">
        <v>0</v>
      </c>
      <c r="BR60" s="80">
        <f t="shared" si="99"/>
        <v>125822</v>
      </c>
    </row>
    <row r="61" spans="1:70" outlineLevel="1" x14ac:dyDescent="0.35">
      <c r="A61" s="1" t="s">
        <v>6</v>
      </c>
      <c r="B61" s="1" t="s">
        <v>7</v>
      </c>
      <c r="C61" s="1" t="s">
        <v>8</v>
      </c>
      <c r="D61" s="1" t="s">
        <v>71</v>
      </c>
      <c r="E61" s="1" t="s">
        <v>47</v>
      </c>
      <c r="F61" s="2">
        <v>1</v>
      </c>
      <c r="G61" s="66">
        <v>0</v>
      </c>
      <c r="H61" s="66">
        <v>1</v>
      </c>
      <c r="I61" s="10" t="s">
        <v>409</v>
      </c>
      <c r="J61" s="10" t="s">
        <v>410</v>
      </c>
      <c r="K61" s="1"/>
      <c r="L61" s="76" t="str">
        <f>IF(M61="","N",STEP!$J$22)</f>
        <v>N</v>
      </c>
      <c r="M61" s="1"/>
      <c r="N61" s="1"/>
      <c r="O61" s="1"/>
      <c r="P61" s="1"/>
      <c r="Q61" s="185">
        <v>20221002</v>
      </c>
      <c r="R61" s="196">
        <v>44836</v>
      </c>
      <c r="S61" s="197">
        <f t="shared" si="78"/>
        <v>0</v>
      </c>
      <c r="T61" s="66">
        <f t="shared" si="79"/>
        <v>0</v>
      </c>
      <c r="U61" s="1"/>
      <c r="V61" s="70">
        <v>0</v>
      </c>
      <c r="W61" s="74" t="str">
        <f t="shared" si="100"/>
        <v/>
      </c>
      <c r="X61" s="70"/>
      <c r="Y61" s="74" t="str">
        <f>IF(L61="Y",(20221001-U61)/10000,"")</f>
        <v/>
      </c>
      <c r="Z61" s="1">
        <v>7720</v>
      </c>
      <c r="AA61" s="112">
        <f>VLOOKUP(Z61,'WRK COMP'!$A$1:$E$17,5,FALSE)</f>
        <v>1.1011E-2</v>
      </c>
      <c r="AB61" s="76" t="s">
        <v>13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10" t="s">
        <v>49</v>
      </c>
      <c r="AK61" s="10" t="s">
        <v>49</v>
      </c>
      <c r="AL61" s="10" t="s">
        <v>49</v>
      </c>
      <c r="AM61" s="78">
        <f>IF(F61&gt;0.79,IF(ROUNDUP(IF(B61="FS",(V61*HRS!$B$9),(V61*HRS!$L$2))*2,-3)&gt;150000,150000,(ROUNDUP(IF(B61="FS",(V61*HRS!$B$9),(V61*HRS!$L$2))*2,-3))),0)</f>
        <v>0</v>
      </c>
      <c r="AN61" s="188">
        <f t="shared" si="80"/>
        <v>7220</v>
      </c>
      <c r="AO61" s="77">
        <f>IF(L61="N",IF(B61="FS",ROUNDUP($V61*HRS!$B$9*'Position Control'!F61,0),ROUNDUP('Position Control'!$V61*HRS!$L$2*'Position Control'!F61,0)),IF('Position Control'!B61="FS",ROUNDUP(('Position Control'!V61*HRS!$B$9*'Position Control'!W61*'Position Control'!F61)+('Position Control'!X61*HRS!$B$9*'Position Control'!Y61*'Position Control'!F61),0),ROUNDUP(('Position Control'!V61*HRS!$L$2*'Position Control'!W61*'Position Control'!F61)+('Position Control'!X61*HRS!$L$2*'Position Control'!Y61*'Position Control'!F61),0)))*'Position Control'!H61</f>
        <v>0</v>
      </c>
      <c r="AP61" s="77">
        <f t="shared" si="81"/>
        <v>0</v>
      </c>
      <c r="AQ61" s="77">
        <f t="shared" si="82"/>
        <v>0</v>
      </c>
      <c r="AR61" s="77">
        <f t="shared" si="83"/>
        <v>0</v>
      </c>
      <c r="AS61" s="77">
        <f>'DIVISION BUDGETS'!B19</f>
        <v>1500</v>
      </c>
      <c r="AT61" s="79">
        <f t="shared" si="84"/>
        <v>0</v>
      </c>
      <c r="AU61" s="77">
        <f t="shared" si="85"/>
        <v>0</v>
      </c>
      <c r="AV61" s="77">
        <f>'DIVISION BUDGETS'!C19</f>
        <v>5720</v>
      </c>
      <c r="AW61" s="77">
        <f t="shared" si="86"/>
        <v>0</v>
      </c>
      <c r="AX61" s="77">
        <f t="shared" si="87"/>
        <v>0</v>
      </c>
      <c r="AY61" s="77">
        <f t="shared" si="88"/>
        <v>0</v>
      </c>
      <c r="AZ61" s="77">
        <f t="shared" si="89"/>
        <v>0</v>
      </c>
      <c r="BA61" s="77">
        <f t="shared" si="90"/>
        <v>0</v>
      </c>
      <c r="BB61" s="77">
        <f t="shared" si="91"/>
        <v>0</v>
      </c>
      <c r="BC61" s="77">
        <f t="shared" si="30"/>
        <v>0</v>
      </c>
      <c r="BD61" s="77">
        <f t="shared" si="92"/>
        <v>0</v>
      </c>
      <c r="BE61" s="77">
        <f>'DIVISION BUDGETS'!D19</f>
        <v>3200</v>
      </c>
      <c r="BF61" s="77">
        <f t="shared" si="93"/>
        <v>0</v>
      </c>
      <c r="BG61" s="77">
        <f>VLOOKUP($AJ61,BENE!$I$2:$N$9,6,FALSE)*'Position Control'!$H61</f>
        <v>0</v>
      </c>
      <c r="BH61" s="77">
        <f>VLOOKUP($AK61,BENE!$A$2:$F$19,6,FALSE)*'Position Control'!$H61</f>
        <v>0</v>
      </c>
      <c r="BI61" s="77">
        <f>VLOOKUP($AK61,BENE!$A$2:$G$19,7,FALSE)*'Position Control'!$H61</f>
        <v>0</v>
      </c>
      <c r="BJ61" s="77">
        <f>VLOOKUP($AL61,BENE!$P$2:$S$6,4,FALSE)*'Position Control'!$H61</f>
        <v>0</v>
      </c>
      <c r="BK61" s="77">
        <f>IF($F61&gt;HRS!$H$2,ROUNDUP(((($AN61+$BE61)*$BK$3)/12*9)+(($AN61+$BE61)*HRS!$B$10/12*3),0),0)*$H61</f>
        <v>1757</v>
      </c>
      <c r="BL61" s="80">
        <f t="shared" si="94"/>
        <v>80</v>
      </c>
      <c r="BM61" s="77">
        <f t="shared" si="95"/>
        <v>116</v>
      </c>
      <c r="BN61" s="77">
        <f t="shared" si="96"/>
        <v>105</v>
      </c>
      <c r="BO61" s="77">
        <f t="shared" si="97"/>
        <v>13</v>
      </c>
      <c r="BP61" s="77">
        <f t="shared" si="98"/>
        <v>0</v>
      </c>
      <c r="BQ61" s="77">
        <f>'DIVISION BUDGETS'!G19</f>
        <v>28500</v>
      </c>
      <c r="BR61" s="80">
        <f t="shared" si="99"/>
        <v>40991</v>
      </c>
    </row>
    <row r="62" spans="1:70" s="171" customFormat="1" x14ac:dyDescent="0.35">
      <c r="A62" s="161"/>
      <c r="B62" s="161"/>
      <c r="C62" s="161"/>
      <c r="D62" s="161"/>
      <c r="E62" s="161"/>
      <c r="F62" s="162"/>
      <c r="G62" s="163">
        <f>SUBTOTAL(9,G56:G61)</f>
        <v>5</v>
      </c>
      <c r="H62" s="163"/>
      <c r="I62" s="161" t="s">
        <v>557</v>
      </c>
      <c r="J62" s="161"/>
      <c r="K62" s="161"/>
      <c r="L62" s="164"/>
      <c r="M62" s="161"/>
      <c r="N62" s="161"/>
      <c r="O62" s="161"/>
      <c r="P62" s="161"/>
      <c r="Q62" s="186"/>
      <c r="R62" s="200"/>
      <c r="S62" s="208"/>
      <c r="T62" s="163"/>
      <c r="U62" s="161"/>
      <c r="V62" s="165"/>
      <c r="W62" s="166"/>
      <c r="X62" s="165"/>
      <c r="Y62" s="166"/>
      <c r="Z62" s="161"/>
      <c r="AA62" s="167"/>
      <c r="AB62" s="164"/>
      <c r="AC62" s="168"/>
      <c r="AD62" s="168"/>
      <c r="AE62" s="168"/>
      <c r="AF62" s="168"/>
      <c r="AG62" s="168"/>
      <c r="AH62" s="168"/>
      <c r="AI62" s="168"/>
      <c r="AJ62" s="161"/>
      <c r="AK62" s="161"/>
      <c r="AL62" s="161"/>
      <c r="AM62" s="169"/>
      <c r="AN62" s="189">
        <f t="shared" ref="AN62:BR62" si="101">SUBTOTAL(9,AN56:AN61)</f>
        <v>574082</v>
      </c>
      <c r="AO62" s="170">
        <f t="shared" si="101"/>
        <v>560561</v>
      </c>
      <c r="AP62" s="170">
        <f t="shared" si="101"/>
        <v>0</v>
      </c>
      <c r="AQ62" s="170">
        <f t="shared" si="101"/>
        <v>5101</v>
      </c>
      <c r="AR62" s="170">
        <f t="shared" si="101"/>
        <v>0</v>
      </c>
      <c r="AS62" s="170">
        <f t="shared" si="101"/>
        <v>1500</v>
      </c>
      <c r="AT62" s="170">
        <f t="shared" si="101"/>
        <v>0</v>
      </c>
      <c r="AU62" s="170">
        <f t="shared" si="101"/>
        <v>1200</v>
      </c>
      <c r="AV62" s="170">
        <f t="shared" si="101"/>
        <v>5720</v>
      </c>
      <c r="AW62" s="170">
        <f t="shared" si="101"/>
        <v>0</v>
      </c>
      <c r="AX62" s="170">
        <f t="shared" si="101"/>
        <v>0</v>
      </c>
      <c r="AY62" s="170">
        <f t="shared" si="101"/>
        <v>0</v>
      </c>
      <c r="AZ62" s="170">
        <f t="shared" si="101"/>
        <v>0</v>
      </c>
      <c r="BA62" s="170">
        <f t="shared" si="101"/>
        <v>0</v>
      </c>
      <c r="BB62" s="170">
        <f t="shared" si="101"/>
        <v>0</v>
      </c>
      <c r="BC62" s="170">
        <f t="shared" si="101"/>
        <v>0</v>
      </c>
      <c r="BD62" s="170">
        <f t="shared" si="101"/>
        <v>3245</v>
      </c>
      <c r="BE62" s="170">
        <f t="shared" si="101"/>
        <v>3200</v>
      </c>
      <c r="BF62" s="170">
        <f t="shared" si="101"/>
        <v>872.4</v>
      </c>
      <c r="BG62" s="170">
        <f t="shared" si="101"/>
        <v>2298</v>
      </c>
      <c r="BH62" s="170">
        <f t="shared" si="101"/>
        <v>56889</v>
      </c>
      <c r="BI62" s="170">
        <f t="shared" si="101"/>
        <v>3000</v>
      </c>
      <c r="BJ62" s="170">
        <f t="shared" si="101"/>
        <v>852</v>
      </c>
      <c r="BK62" s="170">
        <f t="shared" si="101"/>
        <v>97332</v>
      </c>
      <c r="BL62" s="170">
        <f t="shared" si="101"/>
        <v>4711</v>
      </c>
      <c r="BM62" s="170">
        <f t="shared" si="101"/>
        <v>836</v>
      </c>
      <c r="BN62" s="170">
        <f t="shared" si="101"/>
        <v>8327</v>
      </c>
      <c r="BO62" s="170">
        <f t="shared" si="101"/>
        <v>1032</v>
      </c>
      <c r="BP62" s="170">
        <f t="shared" si="101"/>
        <v>4750</v>
      </c>
      <c r="BQ62" s="170">
        <f t="shared" si="101"/>
        <v>28500</v>
      </c>
      <c r="BR62" s="170">
        <f t="shared" si="101"/>
        <v>789926.40000000002</v>
      </c>
    </row>
    <row r="63" spans="1:70" outlineLevel="1" x14ac:dyDescent="0.35">
      <c r="A63" s="1" t="s">
        <v>70</v>
      </c>
      <c r="B63" s="1" t="s">
        <v>87</v>
      </c>
      <c r="C63" s="1" t="s">
        <v>8</v>
      </c>
      <c r="D63" s="1" t="s">
        <v>71</v>
      </c>
      <c r="E63" s="1" t="s">
        <v>85</v>
      </c>
      <c r="F63" s="2">
        <v>0.48</v>
      </c>
      <c r="G63" s="66">
        <v>0.48</v>
      </c>
      <c r="H63" s="66">
        <v>1</v>
      </c>
      <c r="I63" s="1" t="s">
        <v>611</v>
      </c>
      <c r="J63" s="1" t="s">
        <v>612</v>
      </c>
      <c r="K63" s="1" t="s">
        <v>88</v>
      </c>
      <c r="L63" s="76" t="str">
        <f>IF(M63="","N",STEP!$J$22)</f>
        <v>N</v>
      </c>
      <c r="M63" s="1" t="s">
        <v>11</v>
      </c>
      <c r="N63" s="1" t="s">
        <v>11</v>
      </c>
      <c r="O63" s="1" t="s">
        <v>11</v>
      </c>
      <c r="P63" s="1"/>
      <c r="Q63" s="185">
        <v>20211018</v>
      </c>
      <c r="R63" s="196">
        <v>44487</v>
      </c>
      <c r="S63" s="197">
        <f t="shared" ref="S63:S72" si="102">IF(A63="FT",IF(R63&gt;$S$1,0,(DATEDIF(R63,$S$1,"M"))),0)</f>
        <v>0</v>
      </c>
      <c r="T63" s="66">
        <f t="shared" ref="T63:T72" si="103">ROUNDDOWN(IF(A63="FT",DATEDIF(R63,$T$1,"y"),0),0)</f>
        <v>0</v>
      </c>
      <c r="U63" s="65" t="s">
        <v>11</v>
      </c>
      <c r="V63" s="70">
        <v>17.53</v>
      </c>
      <c r="W63" s="74" t="str">
        <f t="shared" si="100"/>
        <v/>
      </c>
      <c r="X63" s="70" t="str" cm="1">
        <f t="array" ref="X63">IF(U63="","",INDEX(STEP!$C:$C,MATCH('Position Control'!M63&amp;'Position Control'!P63,STEP!$A:$A&amp;STEP!$B:$B,0)))</f>
        <v/>
      </c>
      <c r="Y63" s="74" t="str">
        <f t="shared" ref="Y63:Y71" si="104">IF(L63="Y",(20221001-U63)/10000,"")</f>
        <v/>
      </c>
      <c r="Z63" s="1">
        <v>9101</v>
      </c>
      <c r="AA63" s="112">
        <f>VLOOKUP(Z63,'WRK COMP'!$A$1:$E$17,5,FALSE)</f>
        <v>8.1099999999999992E-3</v>
      </c>
      <c r="AB63" s="76" t="s">
        <v>13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0</v>
      </c>
      <c r="AJ63" s="10" t="s">
        <v>49</v>
      </c>
      <c r="AK63" s="10" t="s">
        <v>49</v>
      </c>
      <c r="AL63" s="10" t="s">
        <v>49</v>
      </c>
      <c r="AM63" s="78">
        <f>IF(F63&gt;0.79,IF(ROUNDUP(IF(B63="FS",(V63*HRS!$B$9),(V63*HRS!$L$2))*2,-3)&gt;150000,150000,(ROUNDUP(IF(B63="FS",(V63*HRS!$B$9),(V63*HRS!$L$2))*2,-3))),0)</f>
        <v>0</v>
      </c>
      <c r="AN63" s="188">
        <f t="shared" ref="AN63:AN72" si="105">SUM(AO63:BB63)</f>
        <v>17502</v>
      </c>
      <c r="AO63" s="77">
        <f>IF(L63="N",IF(B63="FS",ROUNDUP($V63*HRS!$B$9*'Position Control'!F63,0),ROUNDUP('Position Control'!$V63*HRS!$L$2*'Position Control'!F63,0)),IF('Position Control'!B63="FS",ROUNDUP(('Position Control'!V63*HRS!$B$9*'Position Control'!W63*'Position Control'!F63)+('Position Control'!X63*HRS!$B$9*'Position Control'!Y63*'Position Control'!F63),0),ROUNDUP(('Position Control'!V63*HRS!$L$2*'Position Control'!W63*'Position Control'!F63)+('Position Control'!X63*HRS!$L$2*'Position Control'!Y63*'Position Control'!F63),0)))*'Position Control'!H63</f>
        <v>17502</v>
      </c>
      <c r="AP63" s="77">
        <f t="shared" ref="AP63:AP72" si="106">ROUNDUP(52*AC63,0)*H63</f>
        <v>0</v>
      </c>
      <c r="AQ63" s="77">
        <f t="shared" ref="AQ63:AQ72" si="107">IF(B63="FS",ROUNDUP(24*AD63,0),IF(B63="POL",ROUNDUP(26*AD63,0),ROUNDUP(52*AD63,0)))*$H63</f>
        <v>0</v>
      </c>
      <c r="AR63" s="77">
        <f t="shared" ref="AR63:AR72" si="108">IF(B63="FS",ROUNDUP(AG63*24,0),ROUNDUP(52*AG63,0))*H63</f>
        <v>0</v>
      </c>
      <c r="AS63" s="77">
        <v>0</v>
      </c>
      <c r="AT63" s="79">
        <f t="shared" ref="AT63:AT72" si="109">ROUNDUP(26*AF63,0)*H63</f>
        <v>0</v>
      </c>
      <c r="AU63" s="77">
        <f t="shared" ref="AU63:AU72" si="110">IF(B63="FS",ROUNDUP(24*AH63,0),IF(B63="POL",ROUNDUP(26*AH63,0),ROUNDUP(48*AH63,0)))*$H63</f>
        <v>0</v>
      </c>
      <c r="AV63" s="77">
        <v>0</v>
      </c>
      <c r="AW63" s="77">
        <f t="shared" ref="AW63:AW72" si="111">IF(B63="FS",ROUNDUP(24*AE63,0),IF(B63="POL",ROUNDUP(26*AE63,0),ROUNDUP(52*AE63,0)))*$H63</f>
        <v>0</v>
      </c>
      <c r="AX63" s="77">
        <f t="shared" ref="AX63:AX72" si="112">IF(AND(Q63&lt;20220401,A63&lt;&gt;"SP"),($AX$3*(AO63+BE63)),0)</f>
        <v>0</v>
      </c>
      <c r="AY63" s="77">
        <f t="shared" ref="AY63:AY72" si="113">IF(AND($L63="N",$Q63&lt;20220401,$A63&lt;&gt;"SP",$AO63&lt;100000),($AY$3*($AO63+$BE63)),0)</f>
        <v>0</v>
      </c>
      <c r="AZ63" s="77">
        <f t="shared" ref="AZ63:AZ72" si="114">IF(AND($L63="N",$Q63&lt;20220401,$A63&lt;&gt;"SP",$AO63&gt;100000),($AZ$3*($AO63+$BE63)),0)</f>
        <v>0</v>
      </c>
      <c r="BA63" s="77">
        <f t="shared" ref="BA63:BA72" si="115">IF(AND($L63="N",$Q63&lt;20220401,$A63&lt;&gt;"SP"),($BA$3*($AO63+$BE63)),0)</f>
        <v>0</v>
      </c>
      <c r="BB63" s="77">
        <f t="shared" ref="BB63:BB72" si="116">IF(AND($L63="Y",$Q63&lt;20220401,$A63&lt;&gt;"SP"),($BB$3*($AO63+$BE63)),0)</f>
        <v>0</v>
      </c>
      <c r="BC63" s="77">
        <f t="shared" si="30"/>
        <v>0</v>
      </c>
      <c r="BD63" s="77">
        <f t="shared" ref="BD63:BD72" si="117">IF($S63&gt;=12,IF(($S63*5)&gt;1200,1200,$S63*5),0)*$H63</f>
        <v>0</v>
      </c>
      <c r="BE63" s="77">
        <v>0</v>
      </c>
      <c r="BF63" s="77">
        <f t="shared" ref="BF63:BF72" si="118">$AM63*$BF$3*12*$H63</f>
        <v>0</v>
      </c>
      <c r="BG63" s="77">
        <f>VLOOKUP($AJ63,BENE!$I$2:$N$9,6,FALSE)*'Position Control'!$H63</f>
        <v>0</v>
      </c>
      <c r="BH63" s="77">
        <f>VLOOKUP($AK63,BENE!$A$2:$F$19,6,FALSE)*'Position Control'!$H63</f>
        <v>0</v>
      </c>
      <c r="BI63" s="77">
        <f>VLOOKUP($AK63,BENE!$A$2:$G$19,7,FALSE)*'Position Control'!$H63</f>
        <v>0</v>
      </c>
      <c r="BJ63" s="77">
        <f>VLOOKUP($AL63,BENE!$P$2:$S$6,4,FALSE)*'Position Control'!$H63</f>
        <v>0</v>
      </c>
      <c r="BK63" s="77">
        <f>IF($F63&gt;HRS!$H$2,ROUNDUP(((($AN63+$BE63)*$BK$3)/12*9)+(($AN63+$BE63)*HRS!$B$10/12*3),0),0)*$H63</f>
        <v>0</v>
      </c>
      <c r="BL63" s="80">
        <f t="shared" ref="BL63:BL72" si="119">ROUNDUP($AN63*$AA63,0)*$H63</f>
        <v>142</v>
      </c>
      <c r="BM63" s="77">
        <f t="shared" ref="BM63:BM72" si="120">ROUNDUP(IF($AN63&gt;9000,$BM$3*9000,$BM$3*$AN63),0)*$H63</f>
        <v>144</v>
      </c>
      <c r="BN63" s="77">
        <f t="shared" ref="BN63:BN72" si="121">IF($AB63="Y",ROUNDUP($AN63*$BN$3,0),0)*$H63</f>
        <v>254</v>
      </c>
      <c r="BO63" s="77">
        <f t="shared" ref="BO63:BO72" si="122">IF($A63&lt;&gt;"SP",ROUND($BO$3*$AN63,0)*$H63,0)</f>
        <v>32</v>
      </c>
      <c r="BP63" s="77">
        <f t="shared" ref="BP63:BP72" si="123">IF($T63&gt;24,2000,IF($T63&gt;19,1750,IF($T63&gt;14,1500,IF($T63&gt;9.9999999999999,1000,0))))*$H63</f>
        <v>0</v>
      </c>
      <c r="BQ63" s="77">
        <v>0</v>
      </c>
      <c r="BR63" s="80">
        <f t="shared" ref="BR63:BR72" si="124">SUM(AO63:AW63)+SUM(BC63:BQ63)</f>
        <v>18074</v>
      </c>
    </row>
    <row r="64" spans="1:70" outlineLevel="1" x14ac:dyDescent="0.35">
      <c r="A64" s="1" t="s">
        <v>83</v>
      </c>
      <c r="B64" s="1" t="s">
        <v>84</v>
      </c>
      <c r="C64" s="1" t="s">
        <v>8</v>
      </c>
      <c r="D64" s="1" t="s">
        <v>71</v>
      </c>
      <c r="E64" s="1" t="s">
        <v>85</v>
      </c>
      <c r="F64" s="2">
        <v>0.26</v>
      </c>
      <c r="G64" s="66">
        <v>0.26</v>
      </c>
      <c r="H64" s="66">
        <v>1</v>
      </c>
      <c r="I64" s="1" t="s">
        <v>611</v>
      </c>
      <c r="J64" s="1" t="s">
        <v>612</v>
      </c>
      <c r="K64" s="1" t="s">
        <v>86</v>
      </c>
      <c r="L64" s="76" t="str">
        <f>IF(M64="","N",STEP!$J$22)</f>
        <v>N</v>
      </c>
      <c r="M64" s="1" t="s">
        <v>11</v>
      </c>
      <c r="N64" s="1" t="s">
        <v>11</v>
      </c>
      <c r="O64" s="1" t="s">
        <v>11</v>
      </c>
      <c r="P64" s="1"/>
      <c r="Q64" s="185">
        <v>20110818</v>
      </c>
      <c r="R64" s="196">
        <v>40773</v>
      </c>
      <c r="S64" s="197">
        <f t="shared" si="102"/>
        <v>0</v>
      </c>
      <c r="T64" s="66">
        <f t="shared" si="103"/>
        <v>0</v>
      </c>
      <c r="U64" s="65" t="s">
        <v>11</v>
      </c>
      <c r="V64" s="192">
        <v>13.9497</v>
      </c>
      <c r="W64" s="74" t="str">
        <f t="shared" si="100"/>
        <v/>
      </c>
      <c r="X64" s="70" t="str" cm="1">
        <f t="array" ref="X64">IF(U64="","",INDEX(STEP!$C:$C,MATCH('Position Control'!M64&amp;'Position Control'!P64,STEP!$A:$A&amp;STEP!$B:$B,0)))</f>
        <v/>
      </c>
      <c r="Y64" s="74" t="str">
        <f t="shared" si="104"/>
        <v/>
      </c>
      <c r="Z64" s="1">
        <v>9101</v>
      </c>
      <c r="AA64" s="112">
        <f>VLOOKUP(Z64,'WRK COMP'!$A$1:$E$17,5,FALSE)</f>
        <v>8.1099999999999992E-3</v>
      </c>
      <c r="AB64" s="76" t="s">
        <v>13</v>
      </c>
      <c r="AC64" s="68">
        <v>0</v>
      </c>
      <c r="AD64" s="68">
        <v>0</v>
      </c>
      <c r="AE64" s="68">
        <v>0</v>
      </c>
      <c r="AF64" s="68">
        <v>0</v>
      </c>
      <c r="AG64" s="68">
        <v>0</v>
      </c>
      <c r="AH64" s="68">
        <v>0</v>
      </c>
      <c r="AI64" s="68">
        <v>0</v>
      </c>
      <c r="AJ64" s="10" t="s">
        <v>49</v>
      </c>
      <c r="AK64" s="10" t="s">
        <v>49</v>
      </c>
      <c r="AL64" s="10" t="s">
        <v>49</v>
      </c>
      <c r="AM64" s="78">
        <f>IF(F64&gt;0.79,IF(ROUNDUP(IF(B64="FS",(V64*HRS!$B$9),(V64*HRS!$L$2))*2,-3)&gt;150000,150000,(ROUNDUP(IF(B64="FS",(V64*HRS!$B$9),(V64*HRS!$L$2))*2,-3))),0)</f>
        <v>0</v>
      </c>
      <c r="AN64" s="188">
        <f t="shared" si="105"/>
        <v>7544</v>
      </c>
      <c r="AO64" s="77">
        <f>IF(L64="N",IF(B64="FS",ROUNDUP($V64*HRS!$B$9*'Position Control'!F64,0),ROUNDUP('Position Control'!$V64*HRS!$L$2*'Position Control'!F64,0)),IF('Position Control'!B64="FS",ROUNDUP(('Position Control'!V64*HRS!$B$9*'Position Control'!W64*'Position Control'!F64)+('Position Control'!X64*HRS!$B$9*'Position Control'!Y64*'Position Control'!F64),0),ROUNDUP(('Position Control'!V64*HRS!$L$2*'Position Control'!W64*'Position Control'!F64)+('Position Control'!X64*HRS!$L$2*'Position Control'!Y64*'Position Control'!F64),0)))*'Position Control'!H64</f>
        <v>7544</v>
      </c>
      <c r="AP64" s="77">
        <f t="shared" si="106"/>
        <v>0</v>
      </c>
      <c r="AQ64" s="77">
        <f t="shared" si="107"/>
        <v>0</v>
      </c>
      <c r="AR64" s="77">
        <f t="shared" si="108"/>
        <v>0</v>
      </c>
      <c r="AS64" s="77">
        <v>0</v>
      </c>
      <c r="AT64" s="79">
        <f t="shared" si="109"/>
        <v>0</v>
      </c>
      <c r="AU64" s="77">
        <f t="shared" si="110"/>
        <v>0</v>
      </c>
      <c r="AV64" s="77">
        <v>0</v>
      </c>
      <c r="AW64" s="77">
        <f t="shared" si="111"/>
        <v>0</v>
      </c>
      <c r="AX64" s="77">
        <f t="shared" si="112"/>
        <v>0</v>
      </c>
      <c r="AY64" s="77">
        <f t="shared" si="113"/>
        <v>0</v>
      </c>
      <c r="AZ64" s="77">
        <f t="shared" si="114"/>
        <v>0</v>
      </c>
      <c r="BA64" s="77">
        <f t="shared" si="115"/>
        <v>0</v>
      </c>
      <c r="BB64" s="77">
        <f t="shared" si="116"/>
        <v>0</v>
      </c>
      <c r="BC64" s="77">
        <f t="shared" si="30"/>
        <v>0</v>
      </c>
      <c r="BD64" s="77">
        <f t="shared" si="117"/>
        <v>0</v>
      </c>
      <c r="BE64" s="77">
        <v>0</v>
      </c>
      <c r="BF64" s="77">
        <f t="shared" si="118"/>
        <v>0</v>
      </c>
      <c r="BG64" s="77">
        <f>VLOOKUP($AJ64,BENE!$I$2:$N$9,6,FALSE)*'Position Control'!$H64</f>
        <v>0</v>
      </c>
      <c r="BH64" s="77">
        <f>VLOOKUP($AK64,BENE!$A$2:$F$19,6,FALSE)*'Position Control'!$H64</f>
        <v>0</v>
      </c>
      <c r="BI64" s="77">
        <f>VLOOKUP($AK64,BENE!$A$2:$G$19,7,FALSE)*'Position Control'!$H64</f>
        <v>0</v>
      </c>
      <c r="BJ64" s="77">
        <f>VLOOKUP($AL64,BENE!$P$2:$S$6,4,FALSE)*'Position Control'!$H64</f>
        <v>0</v>
      </c>
      <c r="BK64" s="77">
        <f>IF($F64&gt;HRS!$H$2,ROUNDUP(((($AN64+$BE64)*$BK$3)/12*9)+(($AN64+$BE64)*HRS!$B$10/12*3),0),0)*$H64</f>
        <v>0</v>
      </c>
      <c r="BL64" s="80">
        <f t="shared" si="119"/>
        <v>62</v>
      </c>
      <c r="BM64" s="77">
        <f t="shared" si="120"/>
        <v>121</v>
      </c>
      <c r="BN64" s="77">
        <f t="shared" si="121"/>
        <v>110</v>
      </c>
      <c r="BO64" s="77">
        <f t="shared" si="122"/>
        <v>0</v>
      </c>
      <c r="BP64" s="77">
        <f t="shared" si="123"/>
        <v>0</v>
      </c>
      <c r="BQ64" s="77">
        <v>0</v>
      </c>
      <c r="BR64" s="80">
        <f t="shared" si="124"/>
        <v>7837</v>
      </c>
    </row>
    <row r="65" spans="1:70" outlineLevel="1" x14ac:dyDescent="0.35">
      <c r="A65" s="1" t="s">
        <v>83</v>
      </c>
      <c r="B65" s="1" t="s">
        <v>84</v>
      </c>
      <c r="C65" s="1" t="s">
        <v>8</v>
      </c>
      <c r="D65" s="1" t="s">
        <v>71</v>
      </c>
      <c r="E65" s="1" t="s">
        <v>85</v>
      </c>
      <c r="F65" s="2">
        <v>0.26</v>
      </c>
      <c r="G65" s="66">
        <v>0.26</v>
      </c>
      <c r="H65" s="66">
        <v>1</v>
      </c>
      <c r="I65" s="1" t="s">
        <v>611</v>
      </c>
      <c r="J65" s="1" t="s">
        <v>612</v>
      </c>
      <c r="K65" s="1" t="s">
        <v>86</v>
      </c>
      <c r="L65" s="76" t="str">
        <f>IF(M65="","N",STEP!$J$22)</f>
        <v>N</v>
      </c>
      <c r="M65" s="1" t="s">
        <v>11</v>
      </c>
      <c r="N65" s="1" t="s">
        <v>11</v>
      </c>
      <c r="O65" s="1" t="s">
        <v>11</v>
      </c>
      <c r="P65" s="1"/>
      <c r="Q65" s="185">
        <v>20110818</v>
      </c>
      <c r="R65" s="196">
        <v>40773</v>
      </c>
      <c r="S65" s="197">
        <f t="shared" si="102"/>
        <v>0</v>
      </c>
      <c r="T65" s="66">
        <f t="shared" si="103"/>
        <v>0</v>
      </c>
      <c r="U65" s="65" t="s">
        <v>11</v>
      </c>
      <c r="V65" s="192">
        <v>13.9497</v>
      </c>
      <c r="W65" s="74" t="str">
        <f t="shared" si="100"/>
        <v/>
      </c>
      <c r="X65" s="70" t="str" cm="1">
        <f t="array" ref="X65">IF(U65="","",INDEX(STEP!$C:$C,MATCH('Position Control'!M65&amp;'Position Control'!P65,STEP!$A:$A&amp;STEP!$B:$B,0)))</f>
        <v/>
      </c>
      <c r="Y65" s="74" t="str">
        <f t="shared" si="104"/>
        <v/>
      </c>
      <c r="Z65" s="1">
        <v>9101</v>
      </c>
      <c r="AA65" s="112">
        <f>VLOOKUP(Z65,'WRK COMP'!$A$1:$E$17,5,FALSE)</f>
        <v>8.1099999999999992E-3</v>
      </c>
      <c r="AB65" s="76" t="s">
        <v>13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10" t="s">
        <v>49</v>
      </c>
      <c r="AK65" s="10" t="s">
        <v>49</v>
      </c>
      <c r="AL65" s="10" t="s">
        <v>49</v>
      </c>
      <c r="AM65" s="78">
        <f>IF(F65&gt;0.79,IF(ROUNDUP(IF(B65="FS",(V65*HRS!$B$9),(V65*HRS!$L$2))*2,-3)&gt;150000,150000,(ROUNDUP(IF(B65="FS",(V65*HRS!$B$9),(V65*HRS!$L$2))*2,-3))),0)</f>
        <v>0</v>
      </c>
      <c r="AN65" s="188">
        <f t="shared" si="105"/>
        <v>7544</v>
      </c>
      <c r="AO65" s="77">
        <f>IF(L65="N",IF(B65="FS",ROUNDUP($V65*HRS!$B$9*'Position Control'!F65,0),ROUNDUP('Position Control'!$V65*HRS!$L$2*'Position Control'!F65,0)),IF('Position Control'!B65="FS",ROUNDUP(('Position Control'!V65*HRS!$B$9*'Position Control'!W65*'Position Control'!F65)+('Position Control'!X65*HRS!$B$9*'Position Control'!Y65*'Position Control'!F65),0),ROUNDUP(('Position Control'!V65*HRS!$L$2*'Position Control'!W65*'Position Control'!F65)+('Position Control'!X65*HRS!$L$2*'Position Control'!Y65*'Position Control'!F65),0)))*'Position Control'!H65</f>
        <v>7544</v>
      </c>
      <c r="AP65" s="77">
        <f t="shared" si="106"/>
        <v>0</v>
      </c>
      <c r="AQ65" s="77">
        <f t="shared" si="107"/>
        <v>0</v>
      </c>
      <c r="AR65" s="77">
        <f t="shared" si="108"/>
        <v>0</v>
      </c>
      <c r="AS65" s="77">
        <v>0</v>
      </c>
      <c r="AT65" s="79">
        <f t="shared" si="109"/>
        <v>0</v>
      </c>
      <c r="AU65" s="77">
        <f t="shared" si="110"/>
        <v>0</v>
      </c>
      <c r="AV65" s="77">
        <v>0</v>
      </c>
      <c r="AW65" s="77">
        <f t="shared" si="111"/>
        <v>0</v>
      </c>
      <c r="AX65" s="77">
        <f t="shared" si="112"/>
        <v>0</v>
      </c>
      <c r="AY65" s="77">
        <f t="shared" si="113"/>
        <v>0</v>
      </c>
      <c r="AZ65" s="77">
        <f t="shared" si="114"/>
        <v>0</v>
      </c>
      <c r="BA65" s="77">
        <f t="shared" si="115"/>
        <v>0</v>
      </c>
      <c r="BB65" s="77">
        <f t="shared" si="116"/>
        <v>0</v>
      </c>
      <c r="BC65" s="77">
        <f t="shared" si="30"/>
        <v>0</v>
      </c>
      <c r="BD65" s="77">
        <f t="shared" si="117"/>
        <v>0</v>
      </c>
      <c r="BE65" s="77">
        <v>0</v>
      </c>
      <c r="BF65" s="77">
        <f t="shared" si="118"/>
        <v>0</v>
      </c>
      <c r="BG65" s="77">
        <f>VLOOKUP($AJ65,BENE!$I$2:$N$9,6,FALSE)*'Position Control'!$H65</f>
        <v>0</v>
      </c>
      <c r="BH65" s="77">
        <f>VLOOKUP($AK65,BENE!$A$2:$F$19,6,FALSE)*'Position Control'!$H65</f>
        <v>0</v>
      </c>
      <c r="BI65" s="77">
        <f>VLOOKUP($AK65,BENE!$A$2:$G$19,7,FALSE)*'Position Control'!$H65</f>
        <v>0</v>
      </c>
      <c r="BJ65" s="77">
        <f>VLOOKUP($AL65,BENE!$P$2:$S$6,4,FALSE)*'Position Control'!$H65</f>
        <v>0</v>
      </c>
      <c r="BK65" s="77">
        <f>IF($F65&gt;HRS!$H$2,ROUNDUP(((($AN65+$BE65)*$BK$3)/12*9)+(($AN65+$BE65)*HRS!$B$10/12*3),0),0)*$H65</f>
        <v>0</v>
      </c>
      <c r="BL65" s="80">
        <f t="shared" si="119"/>
        <v>62</v>
      </c>
      <c r="BM65" s="77">
        <f t="shared" si="120"/>
        <v>121</v>
      </c>
      <c r="BN65" s="77">
        <f t="shared" si="121"/>
        <v>110</v>
      </c>
      <c r="BO65" s="77">
        <f t="shared" si="122"/>
        <v>0</v>
      </c>
      <c r="BP65" s="77">
        <f t="shared" si="123"/>
        <v>0</v>
      </c>
      <c r="BQ65" s="77">
        <v>0</v>
      </c>
      <c r="BR65" s="80">
        <f t="shared" si="124"/>
        <v>7837</v>
      </c>
    </row>
    <row r="66" spans="1:70" outlineLevel="1" x14ac:dyDescent="0.35">
      <c r="A66" s="1" t="s">
        <v>83</v>
      </c>
      <c r="B66" s="1" t="s">
        <v>84</v>
      </c>
      <c r="C66" s="1" t="s">
        <v>8</v>
      </c>
      <c r="D66" s="1" t="s">
        <v>71</v>
      </c>
      <c r="E66" s="1" t="s">
        <v>85</v>
      </c>
      <c r="F66" s="2">
        <v>0.01</v>
      </c>
      <c r="G66" s="66">
        <v>0.01</v>
      </c>
      <c r="H66" s="66">
        <v>1</v>
      </c>
      <c r="I66" s="1" t="s">
        <v>611</v>
      </c>
      <c r="J66" s="1" t="s">
        <v>612</v>
      </c>
      <c r="K66" s="1" t="s">
        <v>86</v>
      </c>
      <c r="L66" s="76" t="str">
        <f>IF(M66="","N",STEP!$J$22)</f>
        <v>N</v>
      </c>
      <c r="M66" s="1" t="s">
        <v>11</v>
      </c>
      <c r="N66" s="1" t="s">
        <v>11</v>
      </c>
      <c r="O66" s="1" t="s">
        <v>11</v>
      </c>
      <c r="P66" s="1"/>
      <c r="Q66" s="185">
        <v>20190122</v>
      </c>
      <c r="R66" s="196">
        <v>43487</v>
      </c>
      <c r="S66" s="197">
        <f t="shared" si="102"/>
        <v>0</v>
      </c>
      <c r="T66" s="66">
        <f t="shared" si="103"/>
        <v>0</v>
      </c>
      <c r="U66" s="65" t="s">
        <v>11</v>
      </c>
      <c r="V66" s="192">
        <v>13.9497</v>
      </c>
      <c r="W66" s="74" t="str">
        <f t="shared" si="100"/>
        <v/>
      </c>
      <c r="X66" s="70" t="str" cm="1">
        <f t="array" ref="X66">IF(U66="","",INDEX(STEP!$C:$C,MATCH('Position Control'!M66&amp;'Position Control'!P66,STEP!$A:$A&amp;STEP!$B:$B,0)))</f>
        <v/>
      </c>
      <c r="Y66" s="74" t="str">
        <f t="shared" si="104"/>
        <v/>
      </c>
      <c r="Z66" s="1">
        <v>9101</v>
      </c>
      <c r="AA66" s="112">
        <f>VLOOKUP(Z66,'WRK COMP'!$A$1:$E$17,5,FALSE)</f>
        <v>8.1099999999999992E-3</v>
      </c>
      <c r="AB66" s="76" t="s">
        <v>13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10" t="s">
        <v>49</v>
      </c>
      <c r="AK66" s="10" t="s">
        <v>49</v>
      </c>
      <c r="AL66" s="10" t="s">
        <v>49</v>
      </c>
      <c r="AM66" s="78">
        <f>IF(F66&gt;0.79,IF(ROUNDUP(IF(B66="FS",(V66*HRS!$B$9),(V66*HRS!$L$2))*2,-3)&gt;150000,150000,(ROUNDUP(IF(B66="FS",(V66*HRS!$B$9),(V66*HRS!$L$2))*2,-3))),0)</f>
        <v>0</v>
      </c>
      <c r="AN66" s="188">
        <f t="shared" si="105"/>
        <v>291</v>
      </c>
      <c r="AO66" s="77">
        <f>IF(L66="N",IF(B66="FS",ROUNDUP($V66*HRS!$B$9*'Position Control'!F66,0),ROUNDUP('Position Control'!$V66*HRS!$L$2*'Position Control'!F66,0)),IF('Position Control'!B66="FS",ROUNDUP(('Position Control'!V66*HRS!$B$9*'Position Control'!W66*'Position Control'!F66)+('Position Control'!X66*HRS!$B$9*'Position Control'!Y66*'Position Control'!F66),0),ROUNDUP(('Position Control'!V66*HRS!$L$2*'Position Control'!W66*'Position Control'!F66)+('Position Control'!X66*HRS!$L$2*'Position Control'!Y66*'Position Control'!F66),0)))*'Position Control'!H66</f>
        <v>291</v>
      </c>
      <c r="AP66" s="77">
        <f t="shared" si="106"/>
        <v>0</v>
      </c>
      <c r="AQ66" s="77">
        <f t="shared" si="107"/>
        <v>0</v>
      </c>
      <c r="AR66" s="77">
        <f t="shared" si="108"/>
        <v>0</v>
      </c>
      <c r="AS66" s="77">
        <v>0</v>
      </c>
      <c r="AT66" s="79">
        <f t="shared" si="109"/>
        <v>0</v>
      </c>
      <c r="AU66" s="77">
        <f t="shared" si="110"/>
        <v>0</v>
      </c>
      <c r="AV66" s="77">
        <v>0</v>
      </c>
      <c r="AW66" s="77">
        <f t="shared" si="111"/>
        <v>0</v>
      </c>
      <c r="AX66" s="77">
        <f t="shared" si="112"/>
        <v>0</v>
      </c>
      <c r="AY66" s="77">
        <f t="shared" si="113"/>
        <v>0</v>
      </c>
      <c r="AZ66" s="77">
        <f t="shared" si="114"/>
        <v>0</v>
      </c>
      <c r="BA66" s="77">
        <f t="shared" si="115"/>
        <v>0</v>
      </c>
      <c r="BB66" s="77">
        <f t="shared" si="116"/>
        <v>0</v>
      </c>
      <c r="BC66" s="77">
        <f t="shared" ref="BC66:BC85" si="125">SUM(AX66:BB66)</f>
        <v>0</v>
      </c>
      <c r="BD66" s="77">
        <f t="shared" si="117"/>
        <v>0</v>
      </c>
      <c r="BE66" s="77">
        <v>0</v>
      </c>
      <c r="BF66" s="77">
        <f t="shared" si="118"/>
        <v>0</v>
      </c>
      <c r="BG66" s="77">
        <f>VLOOKUP($AJ66,BENE!$I$2:$N$9,6,FALSE)*'Position Control'!$H66</f>
        <v>0</v>
      </c>
      <c r="BH66" s="77">
        <f>VLOOKUP($AK66,BENE!$A$2:$F$19,6,FALSE)*'Position Control'!$H66</f>
        <v>0</v>
      </c>
      <c r="BI66" s="77">
        <f>VLOOKUP($AK66,BENE!$A$2:$G$19,7,FALSE)*'Position Control'!$H66</f>
        <v>0</v>
      </c>
      <c r="BJ66" s="77">
        <f>VLOOKUP($AL66,BENE!$P$2:$S$6,4,FALSE)*'Position Control'!$H66</f>
        <v>0</v>
      </c>
      <c r="BK66" s="77">
        <f>IF($F66&gt;HRS!$H$2,ROUNDUP(((($AN66+$BE66)*$BK$3)/12*9)+(($AN66+$BE66)*HRS!$B$10/12*3),0),0)*$H66</f>
        <v>0</v>
      </c>
      <c r="BL66" s="80">
        <f t="shared" si="119"/>
        <v>3</v>
      </c>
      <c r="BM66" s="77">
        <f t="shared" si="120"/>
        <v>5</v>
      </c>
      <c r="BN66" s="77">
        <f t="shared" si="121"/>
        <v>5</v>
      </c>
      <c r="BO66" s="77">
        <f t="shared" si="122"/>
        <v>0</v>
      </c>
      <c r="BP66" s="77">
        <f t="shared" si="123"/>
        <v>0</v>
      </c>
      <c r="BQ66" s="77">
        <v>0</v>
      </c>
      <c r="BR66" s="80">
        <f t="shared" si="124"/>
        <v>304</v>
      </c>
    </row>
    <row r="67" spans="1:70" outlineLevel="1" x14ac:dyDescent="0.35">
      <c r="A67" s="1" t="s">
        <v>83</v>
      </c>
      <c r="B67" s="1" t="s">
        <v>84</v>
      </c>
      <c r="C67" s="1" t="s">
        <v>8</v>
      </c>
      <c r="D67" s="1" t="s">
        <v>71</v>
      </c>
      <c r="E67" s="1" t="s">
        <v>85</v>
      </c>
      <c r="F67" s="2">
        <v>0.01</v>
      </c>
      <c r="G67" s="66">
        <v>0.01</v>
      </c>
      <c r="H67" s="66">
        <v>1</v>
      </c>
      <c r="I67" s="1" t="s">
        <v>611</v>
      </c>
      <c r="J67" s="1" t="s">
        <v>612</v>
      </c>
      <c r="K67" s="1" t="s">
        <v>86</v>
      </c>
      <c r="L67" s="76" t="str">
        <f>IF(M67="","N",STEP!$J$22)</f>
        <v>N</v>
      </c>
      <c r="M67" s="1" t="s">
        <v>11</v>
      </c>
      <c r="N67" s="1" t="s">
        <v>11</v>
      </c>
      <c r="O67" s="1" t="s">
        <v>11</v>
      </c>
      <c r="P67" s="1"/>
      <c r="Q67" s="185">
        <v>20200304</v>
      </c>
      <c r="R67" s="196">
        <v>43894</v>
      </c>
      <c r="S67" s="197">
        <f t="shared" si="102"/>
        <v>0</v>
      </c>
      <c r="T67" s="66">
        <f t="shared" si="103"/>
        <v>0</v>
      </c>
      <c r="U67" s="65" t="s">
        <v>11</v>
      </c>
      <c r="V67" s="192">
        <v>13.9497</v>
      </c>
      <c r="W67" s="74" t="str">
        <f t="shared" si="100"/>
        <v/>
      </c>
      <c r="X67" s="70" t="str" cm="1">
        <f t="array" ref="X67">IF(U67="","",INDEX(STEP!$C:$C,MATCH('Position Control'!M67&amp;'Position Control'!P67,STEP!$A:$A&amp;STEP!$B:$B,0)))</f>
        <v/>
      </c>
      <c r="Y67" s="74" t="str">
        <f t="shared" si="104"/>
        <v/>
      </c>
      <c r="Z67" s="1">
        <v>9101</v>
      </c>
      <c r="AA67" s="112">
        <f>VLOOKUP(Z67,'WRK COMP'!$A$1:$E$17,5,FALSE)</f>
        <v>8.1099999999999992E-3</v>
      </c>
      <c r="AB67" s="76" t="s">
        <v>13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10" t="s">
        <v>49</v>
      </c>
      <c r="AK67" s="10" t="s">
        <v>49</v>
      </c>
      <c r="AL67" s="10" t="s">
        <v>49</v>
      </c>
      <c r="AM67" s="78">
        <f>IF(F67&gt;0.79,IF(ROUNDUP(IF(B67="FS",(V67*HRS!$B$9),(V67*HRS!$L$2))*2,-3)&gt;150000,150000,(ROUNDUP(IF(B67="FS",(V67*HRS!$B$9),(V67*HRS!$L$2))*2,-3))),0)</f>
        <v>0</v>
      </c>
      <c r="AN67" s="188">
        <f t="shared" si="105"/>
        <v>291</v>
      </c>
      <c r="AO67" s="77">
        <f>IF(L67="N",IF(B67="FS",ROUNDUP($V67*HRS!$B$9*'Position Control'!F67,0),ROUNDUP('Position Control'!$V67*HRS!$L$2*'Position Control'!F67,0)),IF('Position Control'!B67="FS",ROUNDUP(('Position Control'!V67*HRS!$B$9*'Position Control'!W67*'Position Control'!F67)+('Position Control'!X67*HRS!$B$9*'Position Control'!Y67*'Position Control'!F67),0),ROUNDUP(('Position Control'!V67*HRS!$L$2*'Position Control'!W67*'Position Control'!F67)+('Position Control'!X67*HRS!$L$2*'Position Control'!Y67*'Position Control'!F67),0)))*'Position Control'!H67</f>
        <v>291</v>
      </c>
      <c r="AP67" s="77">
        <f t="shared" si="106"/>
        <v>0</v>
      </c>
      <c r="AQ67" s="77">
        <f t="shared" si="107"/>
        <v>0</v>
      </c>
      <c r="AR67" s="77">
        <f t="shared" si="108"/>
        <v>0</v>
      </c>
      <c r="AS67" s="77">
        <v>0</v>
      </c>
      <c r="AT67" s="79">
        <f t="shared" si="109"/>
        <v>0</v>
      </c>
      <c r="AU67" s="77">
        <f t="shared" si="110"/>
        <v>0</v>
      </c>
      <c r="AV67" s="77">
        <v>0</v>
      </c>
      <c r="AW67" s="77">
        <f t="shared" si="111"/>
        <v>0</v>
      </c>
      <c r="AX67" s="77">
        <f t="shared" si="112"/>
        <v>0</v>
      </c>
      <c r="AY67" s="77">
        <f t="shared" si="113"/>
        <v>0</v>
      </c>
      <c r="AZ67" s="77">
        <f t="shared" si="114"/>
        <v>0</v>
      </c>
      <c r="BA67" s="77">
        <f t="shared" si="115"/>
        <v>0</v>
      </c>
      <c r="BB67" s="77">
        <f t="shared" si="116"/>
        <v>0</v>
      </c>
      <c r="BC67" s="77">
        <f t="shared" si="125"/>
        <v>0</v>
      </c>
      <c r="BD67" s="77">
        <f t="shared" si="117"/>
        <v>0</v>
      </c>
      <c r="BE67" s="77">
        <v>0</v>
      </c>
      <c r="BF67" s="77">
        <f t="shared" si="118"/>
        <v>0</v>
      </c>
      <c r="BG67" s="77">
        <f>VLOOKUP($AJ67,BENE!$I$2:$N$9,6,FALSE)*'Position Control'!$H67</f>
        <v>0</v>
      </c>
      <c r="BH67" s="77">
        <f>VLOOKUP($AK67,BENE!$A$2:$F$19,6,FALSE)*'Position Control'!$H67</f>
        <v>0</v>
      </c>
      <c r="BI67" s="77">
        <f>VLOOKUP($AK67,BENE!$A$2:$G$19,7,FALSE)*'Position Control'!$H67</f>
        <v>0</v>
      </c>
      <c r="BJ67" s="77">
        <f>VLOOKUP($AL67,BENE!$P$2:$S$6,4,FALSE)*'Position Control'!$H67</f>
        <v>0</v>
      </c>
      <c r="BK67" s="77">
        <f>IF($F67&gt;HRS!$H$2,ROUNDUP(((($AN67+$BE67)*$BK$3)/12*9)+(($AN67+$BE67)*HRS!$B$10/12*3),0),0)*$H67</f>
        <v>0</v>
      </c>
      <c r="BL67" s="80">
        <f t="shared" si="119"/>
        <v>3</v>
      </c>
      <c r="BM67" s="77">
        <f t="shared" si="120"/>
        <v>5</v>
      </c>
      <c r="BN67" s="77">
        <f t="shared" si="121"/>
        <v>5</v>
      </c>
      <c r="BO67" s="77">
        <f t="shared" si="122"/>
        <v>0</v>
      </c>
      <c r="BP67" s="77">
        <f t="shared" si="123"/>
        <v>0</v>
      </c>
      <c r="BQ67" s="77">
        <v>0</v>
      </c>
      <c r="BR67" s="80">
        <f t="shared" si="124"/>
        <v>304</v>
      </c>
    </row>
    <row r="68" spans="1:70" outlineLevel="1" x14ac:dyDescent="0.35">
      <c r="A68" s="1" t="s">
        <v>83</v>
      </c>
      <c r="B68" s="1" t="s">
        <v>84</v>
      </c>
      <c r="C68" s="1" t="s">
        <v>8</v>
      </c>
      <c r="D68" s="1" t="s">
        <v>71</v>
      </c>
      <c r="E68" s="1" t="s">
        <v>85</v>
      </c>
      <c r="F68" s="2">
        <v>0.26</v>
      </c>
      <c r="G68" s="66">
        <v>0.26</v>
      </c>
      <c r="H68" s="66">
        <v>1</v>
      </c>
      <c r="I68" s="1" t="s">
        <v>611</v>
      </c>
      <c r="J68" s="1" t="s">
        <v>612</v>
      </c>
      <c r="K68" s="1" t="s">
        <v>86</v>
      </c>
      <c r="L68" s="76" t="str">
        <f>IF(M68="","N",STEP!$J$22)</f>
        <v>N</v>
      </c>
      <c r="M68" s="1" t="s">
        <v>11</v>
      </c>
      <c r="N68" s="1" t="s">
        <v>11</v>
      </c>
      <c r="O68" s="1" t="s">
        <v>11</v>
      </c>
      <c r="P68" s="1"/>
      <c r="Q68" s="185">
        <v>20110928</v>
      </c>
      <c r="R68" s="196">
        <v>40814</v>
      </c>
      <c r="S68" s="197">
        <f t="shared" si="102"/>
        <v>0</v>
      </c>
      <c r="T68" s="66">
        <f t="shared" si="103"/>
        <v>0</v>
      </c>
      <c r="U68" s="65" t="s">
        <v>11</v>
      </c>
      <c r="V68" s="192">
        <v>13.9497</v>
      </c>
      <c r="W68" s="74" t="str">
        <f t="shared" si="100"/>
        <v/>
      </c>
      <c r="X68" s="70" t="str" cm="1">
        <f t="array" ref="X68">IF(U68="","",INDEX(STEP!$C:$C,MATCH('Position Control'!M68&amp;'Position Control'!P68,STEP!$A:$A&amp;STEP!$B:$B,0)))</f>
        <v/>
      </c>
      <c r="Y68" s="74" t="str">
        <f t="shared" si="104"/>
        <v/>
      </c>
      <c r="Z68" s="1">
        <v>9101</v>
      </c>
      <c r="AA68" s="112">
        <f>VLOOKUP(Z68,'WRK COMP'!$A$1:$E$17,5,FALSE)</f>
        <v>8.1099999999999992E-3</v>
      </c>
      <c r="AB68" s="76" t="s">
        <v>13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10" t="s">
        <v>49</v>
      </c>
      <c r="AK68" s="10" t="s">
        <v>49</v>
      </c>
      <c r="AL68" s="10" t="s">
        <v>49</v>
      </c>
      <c r="AM68" s="78">
        <f>IF(F68&gt;0.79,IF(ROUNDUP(IF(B68="FS",(V68*HRS!$B$9),(V68*HRS!$L$2))*2,-3)&gt;150000,150000,(ROUNDUP(IF(B68="FS",(V68*HRS!$B$9),(V68*HRS!$L$2))*2,-3))),0)</f>
        <v>0</v>
      </c>
      <c r="AN68" s="188">
        <f t="shared" si="105"/>
        <v>7544</v>
      </c>
      <c r="AO68" s="77">
        <f>IF(L68="N",IF(B68="FS",ROUNDUP($V68*HRS!$B$9*'Position Control'!F68,0),ROUNDUP('Position Control'!$V68*HRS!$L$2*'Position Control'!F68,0)),IF('Position Control'!B68="FS",ROUNDUP(('Position Control'!V68*HRS!$B$9*'Position Control'!W68*'Position Control'!F68)+('Position Control'!X68*HRS!$B$9*'Position Control'!Y68*'Position Control'!F68),0),ROUNDUP(('Position Control'!V68*HRS!$L$2*'Position Control'!W68*'Position Control'!F68)+('Position Control'!X68*HRS!$L$2*'Position Control'!Y68*'Position Control'!F68),0)))*'Position Control'!H68</f>
        <v>7544</v>
      </c>
      <c r="AP68" s="77">
        <f t="shared" si="106"/>
        <v>0</v>
      </c>
      <c r="AQ68" s="77">
        <f t="shared" si="107"/>
        <v>0</v>
      </c>
      <c r="AR68" s="77">
        <f t="shared" si="108"/>
        <v>0</v>
      </c>
      <c r="AS68" s="77">
        <v>0</v>
      </c>
      <c r="AT68" s="79">
        <f t="shared" si="109"/>
        <v>0</v>
      </c>
      <c r="AU68" s="77">
        <f t="shared" si="110"/>
        <v>0</v>
      </c>
      <c r="AV68" s="77">
        <v>0</v>
      </c>
      <c r="AW68" s="77">
        <f t="shared" si="111"/>
        <v>0</v>
      </c>
      <c r="AX68" s="77">
        <f t="shared" si="112"/>
        <v>0</v>
      </c>
      <c r="AY68" s="77">
        <f t="shared" si="113"/>
        <v>0</v>
      </c>
      <c r="AZ68" s="77">
        <f t="shared" si="114"/>
        <v>0</v>
      </c>
      <c r="BA68" s="77">
        <f t="shared" si="115"/>
        <v>0</v>
      </c>
      <c r="BB68" s="77">
        <f t="shared" si="116"/>
        <v>0</v>
      </c>
      <c r="BC68" s="77">
        <f t="shared" si="125"/>
        <v>0</v>
      </c>
      <c r="BD68" s="77">
        <f t="shared" si="117"/>
        <v>0</v>
      </c>
      <c r="BE68" s="77">
        <v>0</v>
      </c>
      <c r="BF68" s="77">
        <f t="shared" si="118"/>
        <v>0</v>
      </c>
      <c r="BG68" s="77">
        <f>VLOOKUP($AJ68,BENE!$I$2:$N$9,6,FALSE)*'Position Control'!$H68</f>
        <v>0</v>
      </c>
      <c r="BH68" s="77">
        <f>VLOOKUP($AK68,BENE!$A$2:$F$19,6,FALSE)*'Position Control'!$H68</f>
        <v>0</v>
      </c>
      <c r="BI68" s="77">
        <f>VLOOKUP($AK68,BENE!$A$2:$G$19,7,FALSE)*'Position Control'!$H68</f>
        <v>0</v>
      </c>
      <c r="BJ68" s="77">
        <f>VLOOKUP($AL68,BENE!$P$2:$S$6,4,FALSE)*'Position Control'!$H68</f>
        <v>0</v>
      </c>
      <c r="BK68" s="77">
        <f>IF($F68&gt;HRS!$H$2,ROUNDUP(((($AN68+$BE68)*$BK$3)/12*9)+(($AN68+$BE68)*HRS!$B$10/12*3),0),0)*$H68</f>
        <v>0</v>
      </c>
      <c r="BL68" s="80">
        <f t="shared" si="119"/>
        <v>62</v>
      </c>
      <c r="BM68" s="77">
        <f t="shared" si="120"/>
        <v>121</v>
      </c>
      <c r="BN68" s="77">
        <f t="shared" si="121"/>
        <v>110</v>
      </c>
      <c r="BO68" s="77">
        <f t="shared" si="122"/>
        <v>0</v>
      </c>
      <c r="BP68" s="77">
        <f t="shared" si="123"/>
        <v>0</v>
      </c>
      <c r="BQ68" s="77">
        <v>0</v>
      </c>
      <c r="BR68" s="80">
        <f t="shared" si="124"/>
        <v>7837</v>
      </c>
    </row>
    <row r="69" spans="1:70" outlineLevel="1" x14ac:dyDescent="0.35">
      <c r="A69" s="1" t="s">
        <v>83</v>
      </c>
      <c r="B69" s="1" t="s">
        <v>84</v>
      </c>
      <c r="C69" s="1" t="s">
        <v>8</v>
      </c>
      <c r="D69" s="1" t="s">
        <v>71</v>
      </c>
      <c r="E69" s="1" t="s">
        <v>85</v>
      </c>
      <c r="F69" s="2">
        <v>0.01</v>
      </c>
      <c r="G69" s="66">
        <v>0.01</v>
      </c>
      <c r="H69" s="66">
        <v>1</v>
      </c>
      <c r="I69" s="1" t="s">
        <v>611</v>
      </c>
      <c r="J69" s="1" t="s">
        <v>612</v>
      </c>
      <c r="K69" s="1" t="s">
        <v>86</v>
      </c>
      <c r="L69" s="76" t="str">
        <f>IF(M69="","N",STEP!$J$22)</f>
        <v>N</v>
      </c>
      <c r="M69" s="1" t="s">
        <v>11</v>
      </c>
      <c r="N69" s="1" t="s">
        <v>11</v>
      </c>
      <c r="O69" s="1" t="s">
        <v>11</v>
      </c>
      <c r="P69" s="1"/>
      <c r="Q69" s="185">
        <v>20191009</v>
      </c>
      <c r="R69" s="196">
        <v>43747</v>
      </c>
      <c r="S69" s="197">
        <f t="shared" si="102"/>
        <v>0</v>
      </c>
      <c r="T69" s="66">
        <f t="shared" si="103"/>
        <v>0</v>
      </c>
      <c r="U69" s="65" t="s">
        <v>11</v>
      </c>
      <c r="V69" s="192">
        <v>13.9497</v>
      </c>
      <c r="W69" s="74" t="str">
        <f t="shared" si="100"/>
        <v/>
      </c>
      <c r="X69" s="70" t="str" cm="1">
        <f t="array" ref="X69">IF(U69="","",INDEX(STEP!$C:$C,MATCH('Position Control'!M69&amp;'Position Control'!P69,STEP!$A:$A&amp;STEP!$B:$B,0)))</f>
        <v/>
      </c>
      <c r="Y69" s="74" t="str">
        <f t="shared" si="104"/>
        <v/>
      </c>
      <c r="Z69" s="1">
        <v>9101</v>
      </c>
      <c r="AA69" s="112">
        <f>VLOOKUP(Z69,'WRK COMP'!$A$1:$E$17,5,FALSE)</f>
        <v>8.1099999999999992E-3</v>
      </c>
      <c r="AB69" s="76" t="s">
        <v>13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10" t="s">
        <v>49</v>
      </c>
      <c r="AK69" s="10" t="s">
        <v>49</v>
      </c>
      <c r="AL69" s="10" t="s">
        <v>49</v>
      </c>
      <c r="AM69" s="78">
        <f>IF(F69&gt;0.79,IF(ROUNDUP(IF(B69="FS",(V69*HRS!$B$9),(V69*HRS!$L$2))*2,-3)&gt;150000,150000,(ROUNDUP(IF(B69="FS",(V69*HRS!$B$9),(V69*HRS!$L$2))*2,-3))),0)</f>
        <v>0</v>
      </c>
      <c r="AN69" s="188">
        <f t="shared" si="105"/>
        <v>291</v>
      </c>
      <c r="AO69" s="77">
        <f>IF(L69="N",IF(B69="FS",ROUNDUP($V69*HRS!$B$9*'Position Control'!F69,0),ROUNDUP('Position Control'!$V69*HRS!$L$2*'Position Control'!F69,0)),IF('Position Control'!B69="FS",ROUNDUP(('Position Control'!V69*HRS!$B$9*'Position Control'!W69*'Position Control'!F69)+('Position Control'!X69*HRS!$B$9*'Position Control'!Y69*'Position Control'!F69),0),ROUNDUP(('Position Control'!V69*HRS!$L$2*'Position Control'!W69*'Position Control'!F69)+('Position Control'!X69*HRS!$L$2*'Position Control'!Y69*'Position Control'!F69),0)))*'Position Control'!H69</f>
        <v>291</v>
      </c>
      <c r="AP69" s="77">
        <f t="shared" si="106"/>
        <v>0</v>
      </c>
      <c r="AQ69" s="77">
        <f t="shared" si="107"/>
        <v>0</v>
      </c>
      <c r="AR69" s="77">
        <f t="shared" si="108"/>
        <v>0</v>
      </c>
      <c r="AS69" s="77">
        <v>0</v>
      </c>
      <c r="AT69" s="79">
        <f t="shared" si="109"/>
        <v>0</v>
      </c>
      <c r="AU69" s="77">
        <f t="shared" si="110"/>
        <v>0</v>
      </c>
      <c r="AV69" s="77">
        <v>0</v>
      </c>
      <c r="AW69" s="77">
        <f t="shared" si="111"/>
        <v>0</v>
      </c>
      <c r="AX69" s="77">
        <f t="shared" si="112"/>
        <v>0</v>
      </c>
      <c r="AY69" s="77">
        <f t="shared" si="113"/>
        <v>0</v>
      </c>
      <c r="AZ69" s="77">
        <f t="shared" si="114"/>
        <v>0</v>
      </c>
      <c r="BA69" s="77">
        <f t="shared" si="115"/>
        <v>0</v>
      </c>
      <c r="BB69" s="77">
        <f t="shared" si="116"/>
        <v>0</v>
      </c>
      <c r="BC69" s="77">
        <f t="shared" si="125"/>
        <v>0</v>
      </c>
      <c r="BD69" s="77">
        <f t="shared" si="117"/>
        <v>0</v>
      </c>
      <c r="BE69" s="77">
        <v>0</v>
      </c>
      <c r="BF69" s="77">
        <f t="shared" si="118"/>
        <v>0</v>
      </c>
      <c r="BG69" s="77">
        <f>VLOOKUP($AJ69,BENE!$I$2:$N$9,6,FALSE)*'Position Control'!$H69</f>
        <v>0</v>
      </c>
      <c r="BH69" s="77">
        <f>VLOOKUP($AK69,BENE!$A$2:$F$19,6,FALSE)*'Position Control'!$H69</f>
        <v>0</v>
      </c>
      <c r="BI69" s="77">
        <f>VLOOKUP($AK69,BENE!$A$2:$G$19,7,FALSE)*'Position Control'!$H69</f>
        <v>0</v>
      </c>
      <c r="BJ69" s="77">
        <f>VLOOKUP($AL69,BENE!$P$2:$S$6,4,FALSE)*'Position Control'!$H69</f>
        <v>0</v>
      </c>
      <c r="BK69" s="77">
        <f>IF($F69&gt;HRS!$H$2,ROUNDUP(((($AN69+$BE69)*$BK$3)/12*9)+(($AN69+$BE69)*HRS!$B$10/12*3),0),0)*$H69</f>
        <v>0</v>
      </c>
      <c r="BL69" s="80">
        <f t="shared" si="119"/>
        <v>3</v>
      </c>
      <c r="BM69" s="77">
        <f t="shared" si="120"/>
        <v>5</v>
      </c>
      <c r="BN69" s="77">
        <f t="shared" si="121"/>
        <v>5</v>
      </c>
      <c r="BO69" s="77">
        <f t="shared" si="122"/>
        <v>0</v>
      </c>
      <c r="BP69" s="77">
        <f t="shared" si="123"/>
        <v>0</v>
      </c>
      <c r="BQ69" s="77">
        <v>0</v>
      </c>
      <c r="BR69" s="80">
        <f t="shared" si="124"/>
        <v>304</v>
      </c>
    </row>
    <row r="70" spans="1:70" outlineLevel="1" x14ac:dyDescent="0.35">
      <c r="A70" s="1" t="s">
        <v>83</v>
      </c>
      <c r="B70" s="1" t="s">
        <v>84</v>
      </c>
      <c r="C70" s="1" t="s">
        <v>8</v>
      </c>
      <c r="D70" s="1" t="s">
        <v>71</v>
      </c>
      <c r="E70" s="1" t="s">
        <v>85</v>
      </c>
      <c r="F70" s="2">
        <v>0.01</v>
      </c>
      <c r="G70" s="66">
        <v>0.01</v>
      </c>
      <c r="H70" s="66">
        <v>1</v>
      </c>
      <c r="I70" s="1" t="s">
        <v>611</v>
      </c>
      <c r="J70" s="1" t="s">
        <v>612</v>
      </c>
      <c r="K70" s="1" t="s">
        <v>86</v>
      </c>
      <c r="L70" s="76" t="str">
        <f>IF(M70="","N",STEP!$J$22)</f>
        <v>N</v>
      </c>
      <c r="M70" s="1" t="s">
        <v>11</v>
      </c>
      <c r="N70" s="1" t="s">
        <v>11</v>
      </c>
      <c r="O70" s="1" t="s">
        <v>11</v>
      </c>
      <c r="P70" s="1"/>
      <c r="Q70" s="185">
        <v>20150821</v>
      </c>
      <c r="R70" s="196">
        <v>42237</v>
      </c>
      <c r="S70" s="197">
        <f t="shared" si="102"/>
        <v>0</v>
      </c>
      <c r="T70" s="66">
        <f t="shared" si="103"/>
        <v>0</v>
      </c>
      <c r="U70" s="65" t="s">
        <v>11</v>
      </c>
      <c r="V70" s="192">
        <v>13.9497</v>
      </c>
      <c r="W70" s="74" t="str">
        <f t="shared" si="100"/>
        <v/>
      </c>
      <c r="X70" s="70" t="str" cm="1">
        <f t="array" ref="X70">IF(U70="","",INDEX(STEP!$C:$C,MATCH('Position Control'!M70&amp;'Position Control'!P70,STEP!$A:$A&amp;STEP!$B:$B,0)))</f>
        <v/>
      </c>
      <c r="Y70" s="74" t="str">
        <f t="shared" si="104"/>
        <v/>
      </c>
      <c r="Z70" s="1">
        <v>9101</v>
      </c>
      <c r="AA70" s="112">
        <f>VLOOKUP(Z70,'WRK COMP'!$A$1:$E$17,5,FALSE)</f>
        <v>8.1099999999999992E-3</v>
      </c>
      <c r="AB70" s="76" t="s">
        <v>13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10" t="s">
        <v>49</v>
      </c>
      <c r="AK70" s="10" t="s">
        <v>49</v>
      </c>
      <c r="AL70" s="10" t="s">
        <v>49</v>
      </c>
      <c r="AM70" s="78">
        <f>IF(F70&gt;0.79,IF(ROUNDUP(IF(B70="FS",(V70*HRS!$B$9),(V70*HRS!$L$2))*2,-3)&gt;150000,150000,(ROUNDUP(IF(B70="FS",(V70*HRS!$B$9),(V70*HRS!$L$2))*2,-3))),0)</f>
        <v>0</v>
      </c>
      <c r="AN70" s="188">
        <f t="shared" si="105"/>
        <v>291</v>
      </c>
      <c r="AO70" s="77">
        <f>IF(L70="N",IF(B70="FS",ROUNDUP($V70*HRS!$B$9*'Position Control'!F70,0),ROUNDUP('Position Control'!$V70*HRS!$L$2*'Position Control'!F70,0)),IF('Position Control'!B70="FS",ROUNDUP(('Position Control'!V70*HRS!$B$9*'Position Control'!W70*'Position Control'!F70)+('Position Control'!X70*HRS!$B$9*'Position Control'!Y70*'Position Control'!F70),0),ROUNDUP(('Position Control'!V70*HRS!$L$2*'Position Control'!W70*'Position Control'!F70)+('Position Control'!X70*HRS!$L$2*'Position Control'!Y70*'Position Control'!F70),0)))*'Position Control'!H70</f>
        <v>291</v>
      </c>
      <c r="AP70" s="77">
        <f t="shared" si="106"/>
        <v>0</v>
      </c>
      <c r="AQ70" s="77">
        <f t="shared" si="107"/>
        <v>0</v>
      </c>
      <c r="AR70" s="77">
        <f t="shared" si="108"/>
        <v>0</v>
      </c>
      <c r="AS70" s="77">
        <v>0</v>
      </c>
      <c r="AT70" s="79">
        <f t="shared" si="109"/>
        <v>0</v>
      </c>
      <c r="AU70" s="77">
        <f t="shared" si="110"/>
        <v>0</v>
      </c>
      <c r="AV70" s="77">
        <v>0</v>
      </c>
      <c r="AW70" s="77">
        <f t="shared" si="111"/>
        <v>0</v>
      </c>
      <c r="AX70" s="77">
        <f t="shared" si="112"/>
        <v>0</v>
      </c>
      <c r="AY70" s="77">
        <f t="shared" si="113"/>
        <v>0</v>
      </c>
      <c r="AZ70" s="77">
        <f t="shared" si="114"/>
        <v>0</v>
      </c>
      <c r="BA70" s="77">
        <f t="shared" si="115"/>
        <v>0</v>
      </c>
      <c r="BB70" s="77">
        <f t="shared" si="116"/>
        <v>0</v>
      </c>
      <c r="BC70" s="77">
        <f t="shared" si="125"/>
        <v>0</v>
      </c>
      <c r="BD70" s="77">
        <f t="shared" si="117"/>
        <v>0</v>
      </c>
      <c r="BE70" s="77">
        <v>0</v>
      </c>
      <c r="BF70" s="77">
        <f t="shared" si="118"/>
        <v>0</v>
      </c>
      <c r="BG70" s="77">
        <f>VLOOKUP($AJ70,BENE!$I$2:$N$9,6,FALSE)*'Position Control'!$H70</f>
        <v>0</v>
      </c>
      <c r="BH70" s="77">
        <f>VLOOKUP($AK70,BENE!$A$2:$F$19,6,FALSE)*'Position Control'!$H70</f>
        <v>0</v>
      </c>
      <c r="BI70" s="77">
        <f>VLOOKUP($AK70,BENE!$A$2:$G$19,7,FALSE)*'Position Control'!$H70</f>
        <v>0</v>
      </c>
      <c r="BJ70" s="77">
        <f>VLOOKUP($AL70,BENE!$P$2:$S$6,4,FALSE)*'Position Control'!$H70</f>
        <v>0</v>
      </c>
      <c r="BK70" s="77">
        <f>IF($F70&gt;HRS!$H$2,ROUNDUP(((($AN70+$BE70)*$BK$3)/12*9)+(($AN70+$BE70)*HRS!$B$10/12*3),0),0)*$H70</f>
        <v>0</v>
      </c>
      <c r="BL70" s="80">
        <f t="shared" si="119"/>
        <v>3</v>
      </c>
      <c r="BM70" s="77">
        <f t="shared" si="120"/>
        <v>5</v>
      </c>
      <c r="BN70" s="77">
        <f t="shared" si="121"/>
        <v>5</v>
      </c>
      <c r="BO70" s="77">
        <f t="shared" si="122"/>
        <v>0</v>
      </c>
      <c r="BP70" s="77">
        <f t="shared" si="123"/>
        <v>0</v>
      </c>
      <c r="BQ70" s="77">
        <v>0</v>
      </c>
      <c r="BR70" s="80">
        <f t="shared" si="124"/>
        <v>304</v>
      </c>
    </row>
    <row r="71" spans="1:70" outlineLevel="1" x14ac:dyDescent="0.35">
      <c r="A71" s="1" t="s">
        <v>83</v>
      </c>
      <c r="B71" s="1" t="s">
        <v>84</v>
      </c>
      <c r="C71" s="1" t="s">
        <v>8</v>
      </c>
      <c r="D71" s="1" t="s">
        <v>71</v>
      </c>
      <c r="E71" s="1" t="s">
        <v>85</v>
      </c>
      <c r="F71" s="2">
        <v>0.26</v>
      </c>
      <c r="G71" s="66">
        <v>0.26</v>
      </c>
      <c r="H71" s="66">
        <v>1</v>
      </c>
      <c r="I71" s="1" t="s">
        <v>611</v>
      </c>
      <c r="J71" s="1" t="s">
        <v>612</v>
      </c>
      <c r="K71" s="1" t="s">
        <v>86</v>
      </c>
      <c r="L71" s="76" t="str">
        <f>IF(M71="","N",STEP!$J$22)</f>
        <v>N</v>
      </c>
      <c r="M71" s="1" t="s">
        <v>11</v>
      </c>
      <c r="N71" s="1" t="s">
        <v>11</v>
      </c>
      <c r="O71" s="1" t="s">
        <v>11</v>
      </c>
      <c r="P71" s="1"/>
      <c r="Q71" s="185">
        <v>20190820</v>
      </c>
      <c r="R71" s="196">
        <v>43697</v>
      </c>
      <c r="S71" s="197">
        <f t="shared" si="102"/>
        <v>0</v>
      </c>
      <c r="T71" s="66">
        <f t="shared" si="103"/>
        <v>0</v>
      </c>
      <c r="U71" s="65" t="s">
        <v>11</v>
      </c>
      <c r="V71" s="192">
        <v>13.9497</v>
      </c>
      <c r="W71" s="74" t="str">
        <f t="shared" si="100"/>
        <v/>
      </c>
      <c r="X71" s="70" t="str" cm="1">
        <f t="array" ref="X71">IF(U71="","",INDEX(STEP!$C:$C,MATCH('Position Control'!M71&amp;'Position Control'!P71,STEP!$A:$A&amp;STEP!$B:$B,0)))</f>
        <v/>
      </c>
      <c r="Y71" s="74" t="str">
        <f t="shared" si="104"/>
        <v/>
      </c>
      <c r="Z71" s="1">
        <v>9101</v>
      </c>
      <c r="AA71" s="112">
        <f>VLOOKUP(Z71,'WRK COMP'!$A$1:$E$17,5,FALSE)</f>
        <v>8.1099999999999992E-3</v>
      </c>
      <c r="AB71" s="76" t="s">
        <v>13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10" t="s">
        <v>49</v>
      </c>
      <c r="AK71" s="10" t="s">
        <v>49</v>
      </c>
      <c r="AL71" s="10" t="s">
        <v>49</v>
      </c>
      <c r="AM71" s="78">
        <f>IF(F71&gt;0.79,IF(ROUNDUP(IF(B71="FS",(V71*HRS!$B$9),(V71*HRS!$L$2))*2,-3)&gt;150000,150000,(ROUNDUP(IF(B71="FS",(V71*HRS!$B$9),(V71*HRS!$L$2))*2,-3))),0)</f>
        <v>0</v>
      </c>
      <c r="AN71" s="188">
        <f t="shared" si="105"/>
        <v>7544</v>
      </c>
      <c r="AO71" s="77">
        <f>IF(L71="N",IF(B71="FS",ROUNDUP($V71*HRS!$B$9*'Position Control'!F71,0),ROUNDUP('Position Control'!$V71*HRS!$L$2*'Position Control'!F71,0)),IF('Position Control'!B71="FS",ROUNDUP(('Position Control'!V71*HRS!$B$9*'Position Control'!W71*'Position Control'!F71)+('Position Control'!X71*HRS!$B$9*'Position Control'!Y71*'Position Control'!F71),0),ROUNDUP(('Position Control'!V71*HRS!$L$2*'Position Control'!W71*'Position Control'!F71)+('Position Control'!X71*HRS!$L$2*'Position Control'!Y71*'Position Control'!F71),0)))*'Position Control'!H71</f>
        <v>7544</v>
      </c>
      <c r="AP71" s="77">
        <f t="shared" si="106"/>
        <v>0</v>
      </c>
      <c r="AQ71" s="77">
        <f t="shared" si="107"/>
        <v>0</v>
      </c>
      <c r="AR71" s="77">
        <f t="shared" si="108"/>
        <v>0</v>
      </c>
      <c r="AS71" s="77">
        <v>0</v>
      </c>
      <c r="AT71" s="79">
        <f t="shared" si="109"/>
        <v>0</v>
      </c>
      <c r="AU71" s="77">
        <f t="shared" si="110"/>
        <v>0</v>
      </c>
      <c r="AV71" s="77">
        <v>0</v>
      </c>
      <c r="AW71" s="77">
        <f t="shared" si="111"/>
        <v>0</v>
      </c>
      <c r="AX71" s="77">
        <f t="shared" si="112"/>
        <v>0</v>
      </c>
      <c r="AY71" s="77">
        <f t="shared" si="113"/>
        <v>0</v>
      </c>
      <c r="AZ71" s="77">
        <f t="shared" si="114"/>
        <v>0</v>
      </c>
      <c r="BA71" s="77">
        <f t="shared" si="115"/>
        <v>0</v>
      </c>
      <c r="BB71" s="77">
        <f t="shared" si="116"/>
        <v>0</v>
      </c>
      <c r="BC71" s="77">
        <f t="shared" si="125"/>
        <v>0</v>
      </c>
      <c r="BD71" s="77">
        <f t="shared" si="117"/>
        <v>0</v>
      </c>
      <c r="BE71" s="77">
        <v>0</v>
      </c>
      <c r="BF71" s="77">
        <f t="shared" si="118"/>
        <v>0</v>
      </c>
      <c r="BG71" s="77">
        <f>VLOOKUP($AJ71,BENE!$I$2:$N$9,6,FALSE)*'Position Control'!$H71</f>
        <v>0</v>
      </c>
      <c r="BH71" s="77">
        <f>VLOOKUP($AK71,BENE!$A$2:$F$19,6,FALSE)*'Position Control'!$H71</f>
        <v>0</v>
      </c>
      <c r="BI71" s="77">
        <f>VLOOKUP($AK71,BENE!$A$2:$G$19,7,FALSE)*'Position Control'!$H71</f>
        <v>0</v>
      </c>
      <c r="BJ71" s="77">
        <f>VLOOKUP($AL71,BENE!$P$2:$S$6,4,FALSE)*'Position Control'!$H71</f>
        <v>0</v>
      </c>
      <c r="BK71" s="77">
        <f>IF($F71&gt;HRS!$H$2,ROUNDUP(((($AN71+$BE71)*$BK$3)/12*9)+(($AN71+$BE71)*HRS!$B$10/12*3),0),0)*$H71</f>
        <v>0</v>
      </c>
      <c r="BL71" s="80">
        <f t="shared" si="119"/>
        <v>62</v>
      </c>
      <c r="BM71" s="77">
        <f t="shared" si="120"/>
        <v>121</v>
      </c>
      <c r="BN71" s="77">
        <f t="shared" si="121"/>
        <v>110</v>
      </c>
      <c r="BO71" s="77">
        <f t="shared" si="122"/>
        <v>0</v>
      </c>
      <c r="BP71" s="77">
        <f t="shared" si="123"/>
        <v>0</v>
      </c>
      <c r="BQ71" s="77">
        <v>0</v>
      </c>
      <c r="BR71" s="80">
        <f t="shared" si="124"/>
        <v>7837</v>
      </c>
    </row>
    <row r="72" spans="1:70" outlineLevel="1" x14ac:dyDescent="0.35">
      <c r="A72" s="1" t="s">
        <v>83</v>
      </c>
      <c r="B72" s="1" t="s">
        <v>84</v>
      </c>
      <c r="C72" s="1" t="s">
        <v>8</v>
      </c>
      <c r="D72" s="1" t="s">
        <v>71</v>
      </c>
      <c r="E72" s="1" t="s">
        <v>85</v>
      </c>
      <c r="F72" s="2">
        <v>1</v>
      </c>
      <c r="G72" s="66">
        <v>0</v>
      </c>
      <c r="H72" s="66">
        <v>1</v>
      </c>
      <c r="I72" s="10" t="s">
        <v>409</v>
      </c>
      <c r="J72" s="10" t="s">
        <v>410</v>
      </c>
      <c r="K72" s="1"/>
      <c r="L72" s="76" t="str">
        <f>IF(M72="","N",STEP!$J$22)</f>
        <v>N</v>
      </c>
      <c r="M72" s="1"/>
      <c r="N72" s="1"/>
      <c r="O72" s="1"/>
      <c r="P72" s="1"/>
      <c r="Q72" s="185">
        <v>20221002</v>
      </c>
      <c r="R72" s="196">
        <v>44836</v>
      </c>
      <c r="S72" s="197">
        <f t="shared" si="102"/>
        <v>0</v>
      </c>
      <c r="T72" s="66">
        <f t="shared" si="103"/>
        <v>0</v>
      </c>
      <c r="U72" s="1"/>
      <c r="V72" s="70">
        <v>0</v>
      </c>
      <c r="W72" s="74"/>
      <c r="X72" s="70"/>
      <c r="Y72" s="74"/>
      <c r="Z72" s="1">
        <v>9101</v>
      </c>
      <c r="AA72" s="112">
        <f>VLOOKUP(Z72,'WRK COMP'!$A$1:$E$17,5,FALSE)</f>
        <v>8.1099999999999992E-3</v>
      </c>
      <c r="AB72" s="76" t="s">
        <v>13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10" t="s">
        <v>49</v>
      </c>
      <c r="AK72" s="10" t="s">
        <v>49</v>
      </c>
      <c r="AL72" s="10" t="s">
        <v>49</v>
      </c>
      <c r="AM72" s="78">
        <f>IF(F72&gt;0.79,IF(ROUNDUP(IF(B72="FS",(V72*HRS!$B$9),(V72*HRS!$L$2))*2,-3)&gt;150000,150000,(ROUNDUP(IF(B72="FS",(V72*HRS!$B$9),(V72*HRS!$L$2))*2,-3))),0)</f>
        <v>0</v>
      </c>
      <c r="AN72" s="188">
        <f t="shared" si="105"/>
        <v>0</v>
      </c>
      <c r="AO72" s="77">
        <f>IF(L72="N",IF(B72="FS",ROUNDUP($V72*HRS!$B$9*'Position Control'!F72,0),ROUNDUP('Position Control'!$V72*HRS!$L$2*'Position Control'!F72,0)),IF('Position Control'!B72="FS",ROUNDUP(('Position Control'!V72*HRS!$B$9*'Position Control'!W72*'Position Control'!F72)+('Position Control'!X72*HRS!$B$9*'Position Control'!Y72*'Position Control'!F72),0),ROUNDUP(('Position Control'!V72*HRS!$L$2*'Position Control'!W72*'Position Control'!F72)+('Position Control'!X72*HRS!$L$2*'Position Control'!Y72*'Position Control'!F72),0)))*'Position Control'!H72</f>
        <v>0</v>
      </c>
      <c r="AP72" s="77">
        <f t="shared" si="106"/>
        <v>0</v>
      </c>
      <c r="AQ72" s="77">
        <f t="shared" si="107"/>
        <v>0</v>
      </c>
      <c r="AR72" s="77">
        <f t="shared" si="108"/>
        <v>0</v>
      </c>
      <c r="AS72" s="77">
        <v>0</v>
      </c>
      <c r="AT72" s="79">
        <f t="shared" si="109"/>
        <v>0</v>
      </c>
      <c r="AU72" s="77">
        <f t="shared" si="110"/>
        <v>0</v>
      </c>
      <c r="AV72" s="77">
        <v>0</v>
      </c>
      <c r="AW72" s="77">
        <f t="shared" si="111"/>
        <v>0</v>
      </c>
      <c r="AX72" s="77">
        <f t="shared" si="112"/>
        <v>0</v>
      </c>
      <c r="AY72" s="77">
        <f t="shared" si="113"/>
        <v>0</v>
      </c>
      <c r="AZ72" s="77">
        <f t="shared" si="114"/>
        <v>0</v>
      </c>
      <c r="BA72" s="77">
        <f t="shared" si="115"/>
        <v>0</v>
      </c>
      <c r="BB72" s="77">
        <f t="shared" si="116"/>
        <v>0</v>
      </c>
      <c r="BC72" s="77">
        <f t="shared" si="125"/>
        <v>0</v>
      </c>
      <c r="BD72" s="77">
        <f t="shared" si="117"/>
        <v>0</v>
      </c>
      <c r="BE72" s="77">
        <v>0</v>
      </c>
      <c r="BF72" s="77">
        <f t="shared" si="118"/>
        <v>0</v>
      </c>
      <c r="BG72" s="77">
        <f>VLOOKUP($AJ72,BENE!$I$2:$N$9,6,FALSE)*'Position Control'!$H72</f>
        <v>0</v>
      </c>
      <c r="BH72" s="77">
        <f>VLOOKUP($AK72,BENE!$A$2:$F$19,6,FALSE)*'Position Control'!$H72</f>
        <v>0</v>
      </c>
      <c r="BI72" s="77">
        <f>VLOOKUP($AK72,BENE!$A$2:$G$19,7,FALSE)*'Position Control'!$H72</f>
        <v>0</v>
      </c>
      <c r="BJ72" s="77">
        <f>VLOOKUP($AL72,BENE!$P$2:$S$6,4,FALSE)*'Position Control'!$H72</f>
        <v>0</v>
      </c>
      <c r="BK72" s="77">
        <f>IF($F72&gt;HRS!$H$2,ROUNDUP(((($AN72+$BE72)*$BK$3)/12*9)+(($AN72+$BE72)*HRS!$B$10/12*3),0),0)*$H72</f>
        <v>0</v>
      </c>
      <c r="BL72" s="80">
        <f t="shared" si="119"/>
        <v>0</v>
      </c>
      <c r="BM72" s="77">
        <f t="shared" si="120"/>
        <v>0</v>
      </c>
      <c r="BN72" s="77">
        <f t="shared" si="121"/>
        <v>0</v>
      </c>
      <c r="BO72" s="77">
        <f t="shared" si="122"/>
        <v>0</v>
      </c>
      <c r="BP72" s="77">
        <f t="shared" si="123"/>
        <v>0</v>
      </c>
      <c r="BQ72" s="77">
        <v>0</v>
      </c>
      <c r="BR72" s="80">
        <f t="shared" si="124"/>
        <v>0</v>
      </c>
    </row>
    <row r="73" spans="1:70" s="171" customFormat="1" ht="17.25" customHeight="1" x14ac:dyDescent="0.35">
      <c r="A73" s="161"/>
      <c r="B73" s="161"/>
      <c r="C73" s="161"/>
      <c r="D73" s="161"/>
      <c r="E73" s="161"/>
      <c r="F73" s="162"/>
      <c r="G73" s="163">
        <f>SUBTOTAL(9,G63:G72)</f>
        <v>1.56</v>
      </c>
      <c r="H73" s="163"/>
      <c r="I73" s="161" t="s">
        <v>275</v>
      </c>
      <c r="J73" s="161"/>
      <c r="K73" s="161"/>
      <c r="L73" s="164"/>
      <c r="M73" s="161"/>
      <c r="N73" s="161"/>
      <c r="O73" s="161"/>
      <c r="P73" s="161"/>
      <c r="Q73" s="186"/>
      <c r="R73" s="200"/>
      <c r="S73" s="208"/>
      <c r="T73" s="163"/>
      <c r="U73" s="161"/>
      <c r="V73" s="165"/>
      <c r="W73" s="166"/>
      <c r="X73" s="165"/>
      <c r="Y73" s="166"/>
      <c r="Z73" s="161"/>
      <c r="AA73" s="167"/>
      <c r="AB73" s="164"/>
      <c r="AC73" s="168"/>
      <c r="AD73" s="168"/>
      <c r="AE73" s="168"/>
      <c r="AF73" s="168"/>
      <c r="AG73" s="168"/>
      <c r="AH73" s="168"/>
      <c r="AI73" s="168"/>
      <c r="AJ73" s="161"/>
      <c r="AK73" s="161"/>
      <c r="AL73" s="161"/>
      <c r="AM73" s="169"/>
      <c r="AN73" s="189">
        <f t="shared" ref="AN73:BR73" si="126">SUBTOTAL(9,AN63:AN72)</f>
        <v>48842</v>
      </c>
      <c r="AO73" s="170">
        <f t="shared" si="126"/>
        <v>48842</v>
      </c>
      <c r="AP73" s="170">
        <f t="shared" si="126"/>
        <v>0</v>
      </c>
      <c r="AQ73" s="170">
        <f t="shared" si="126"/>
        <v>0</v>
      </c>
      <c r="AR73" s="170">
        <f t="shared" si="126"/>
        <v>0</v>
      </c>
      <c r="AS73" s="170">
        <f t="shared" si="126"/>
        <v>0</v>
      </c>
      <c r="AT73" s="170">
        <f t="shared" si="126"/>
        <v>0</v>
      </c>
      <c r="AU73" s="170">
        <f t="shared" si="126"/>
        <v>0</v>
      </c>
      <c r="AV73" s="170">
        <f t="shared" si="126"/>
        <v>0</v>
      </c>
      <c r="AW73" s="170">
        <f t="shared" si="126"/>
        <v>0</v>
      </c>
      <c r="AX73" s="170">
        <f t="shared" si="126"/>
        <v>0</v>
      </c>
      <c r="AY73" s="170">
        <f t="shared" si="126"/>
        <v>0</v>
      </c>
      <c r="AZ73" s="170">
        <f t="shared" si="126"/>
        <v>0</v>
      </c>
      <c r="BA73" s="170">
        <f t="shared" si="126"/>
        <v>0</v>
      </c>
      <c r="BB73" s="170">
        <f t="shared" si="126"/>
        <v>0</v>
      </c>
      <c r="BC73" s="170">
        <f t="shared" si="126"/>
        <v>0</v>
      </c>
      <c r="BD73" s="170">
        <f t="shared" si="126"/>
        <v>0</v>
      </c>
      <c r="BE73" s="170">
        <f t="shared" si="126"/>
        <v>0</v>
      </c>
      <c r="BF73" s="170">
        <f t="shared" si="126"/>
        <v>0</v>
      </c>
      <c r="BG73" s="170">
        <f t="shared" si="126"/>
        <v>0</v>
      </c>
      <c r="BH73" s="170">
        <f t="shared" si="126"/>
        <v>0</v>
      </c>
      <c r="BI73" s="170">
        <f t="shared" si="126"/>
        <v>0</v>
      </c>
      <c r="BJ73" s="170">
        <f t="shared" si="126"/>
        <v>0</v>
      </c>
      <c r="BK73" s="170">
        <f t="shared" si="126"/>
        <v>0</v>
      </c>
      <c r="BL73" s="170">
        <f t="shared" si="126"/>
        <v>402</v>
      </c>
      <c r="BM73" s="170">
        <f t="shared" si="126"/>
        <v>648</v>
      </c>
      <c r="BN73" s="170">
        <f t="shared" si="126"/>
        <v>714</v>
      </c>
      <c r="BO73" s="170">
        <f t="shared" si="126"/>
        <v>32</v>
      </c>
      <c r="BP73" s="170">
        <f t="shared" si="126"/>
        <v>0</v>
      </c>
      <c r="BQ73" s="170">
        <f t="shared" si="126"/>
        <v>0</v>
      </c>
      <c r="BR73" s="170">
        <f t="shared" si="126"/>
        <v>50638</v>
      </c>
    </row>
    <row r="74" spans="1:70" outlineLevel="1" x14ac:dyDescent="0.35">
      <c r="A74" s="1" t="s">
        <v>6</v>
      </c>
      <c r="B74" s="1" t="s">
        <v>74</v>
      </c>
      <c r="C74" s="1" t="s">
        <v>8</v>
      </c>
      <c r="D74" s="1" t="s">
        <v>71</v>
      </c>
      <c r="E74" s="1" t="s">
        <v>89</v>
      </c>
      <c r="F74" s="2">
        <v>1</v>
      </c>
      <c r="G74" s="66">
        <v>1</v>
      </c>
      <c r="H74" s="66">
        <v>1</v>
      </c>
      <c r="I74" s="1" t="s">
        <v>611</v>
      </c>
      <c r="J74" s="1" t="s">
        <v>612</v>
      </c>
      <c r="K74" s="1" t="s">
        <v>132</v>
      </c>
      <c r="L74" s="76" t="str">
        <f>IF(M74="","N",STEP!$J$22)</f>
        <v>Y</v>
      </c>
      <c r="M74" s="1" t="s">
        <v>129</v>
      </c>
      <c r="N74" s="1" t="s">
        <v>130</v>
      </c>
      <c r="O74" s="1">
        <v>3</v>
      </c>
      <c r="P74" s="1">
        <v>4</v>
      </c>
      <c r="Q74" s="185">
        <v>19931001</v>
      </c>
      <c r="R74" s="196">
        <v>34243</v>
      </c>
      <c r="S74" s="197">
        <f t="shared" ref="S74:S120" si="127">IF(A74="FT",IF(R74&gt;$S$1,0,(DATEDIF(R74,$S$1,"M"))),0)</f>
        <v>347</v>
      </c>
      <c r="T74" s="66">
        <f t="shared" ref="T74:T120" si="128">ROUNDDOWN(IF(A74="FT",DATEDIF(R74,$T$1,"y"),0),0)</f>
        <v>29</v>
      </c>
      <c r="U74" s="65">
        <v>20220429</v>
      </c>
      <c r="V74" s="70">
        <v>54.092100000000002</v>
      </c>
      <c r="W74" s="74">
        <f t="shared" si="100"/>
        <v>0.94279999999999997</v>
      </c>
      <c r="X74" s="70" cm="1">
        <f t="array" ref="X74">IF(U74="","",INDEX(STEP!$C:$C,MATCH('Position Control'!M74&amp;'Position Control'!P74,STEP!$A:$A&amp;STEP!$B:$B,0)))</f>
        <v>55.7149</v>
      </c>
      <c r="Y74" s="74">
        <f t="shared" ref="Y74:Y105" si="129">IF(L74="Y",(20221001-U74)/10000,"")</f>
        <v>5.7200000000000001E-2</v>
      </c>
      <c r="Z74" s="1">
        <v>7720</v>
      </c>
      <c r="AA74" s="112">
        <f>VLOOKUP(Z74,'WRK COMP'!$A$1:$E$17,5,FALSE)</f>
        <v>1.1011E-2</v>
      </c>
      <c r="AB74" s="76" t="s">
        <v>13</v>
      </c>
      <c r="AC74" s="68">
        <v>0</v>
      </c>
      <c r="AD74" s="68">
        <v>92.31</v>
      </c>
      <c r="AE74" s="68">
        <v>0</v>
      </c>
      <c r="AF74" s="68">
        <v>23.08</v>
      </c>
      <c r="AG74" s="68">
        <v>0</v>
      </c>
      <c r="AH74" s="68">
        <v>0</v>
      </c>
      <c r="AI74" s="68">
        <v>0</v>
      </c>
      <c r="AJ74" s="1" t="s">
        <v>14</v>
      </c>
      <c r="AK74" s="1" t="s">
        <v>43</v>
      </c>
      <c r="AL74" s="10" t="s">
        <v>49</v>
      </c>
      <c r="AM74" s="78">
        <f>IF(F74&gt;0.79,IF(ROUNDUP(IF(B74="FS",(V74*HRS!$B$9),(V74*HRS!$L$2))*2,-3)&gt;150000,150000,(ROUNDUP(IF(B74="FS",(V74*HRS!$B$9),(V74*HRS!$L$2))*2,-3))),0)</f>
        <v>150000</v>
      </c>
      <c r="AN74" s="188">
        <f t="shared" ref="AN74:AN85" si="130">SUM(AO74:BB74)</f>
        <v>115707</v>
      </c>
      <c r="AO74" s="77">
        <f>IF(L74="N",IF(B74="FS",ROUNDUP($V74*HRS!$B$9*'Position Control'!F74,0),ROUNDUP('Position Control'!$V74*HRS!$L$2*'Position Control'!F74,0)),IF('Position Control'!B74="FS",ROUNDUP(('Position Control'!V74*HRS!$B$9*'Position Control'!W74*'Position Control'!F74)+('Position Control'!X74*HRS!$B$9*'Position Control'!Y74*'Position Control'!F74),0),ROUNDUP(('Position Control'!V74*HRS!$L$2*'Position Control'!W74*'Position Control'!F74)+('Position Control'!X74*HRS!$L$2*'Position Control'!Y74*'Position Control'!F74),0)))*'Position Control'!H74</f>
        <v>112705</v>
      </c>
      <c r="AP74" s="77">
        <f t="shared" ref="AP74:AP120" si="131">ROUNDUP(52*AC74,0)*H74</f>
        <v>0</v>
      </c>
      <c r="AQ74" s="77">
        <f t="shared" ref="AQ74:AQ120" si="132">IF(B74="FS",ROUNDUP(24*AD74,0),IF(B74="POL",ROUNDUP(26*AD74,0),ROUNDUP(52*AD74,0)))*$H74</f>
        <v>2401</v>
      </c>
      <c r="AR74" s="77">
        <f t="shared" ref="AR74:AR120" si="133">IF(B74="FS",ROUNDUP(AG74*24,0),ROUNDUP(52*AG74,0))*H74</f>
        <v>0</v>
      </c>
      <c r="AS74" s="77">
        <v>0</v>
      </c>
      <c r="AT74" s="79">
        <f t="shared" ref="AT74:AT120" si="134">ROUNDUP(26*AF74,0)*H74</f>
        <v>601</v>
      </c>
      <c r="AU74" s="77">
        <f t="shared" ref="AU74:AU120" si="135">IF(B74="FS",ROUNDUP(24*AH74,0),IF(B74="POL",ROUNDUP(26*AH74,0),ROUNDUP(48*AH74,0)))*$H74</f>
        <v>0</v>
      </c>
      <c r="AV74" s="77">
        <v>0</v>
      </c>
      <c r="AW74" s="77">
        <f t="shared" ref="AW74:AW120" si="136">IF(B74="FS",ROUNDUP(24*AE74,0),IF(B74="POL",ROUNDUP(26*AE74,0),ROUNDUP(52*AE74,0)))*$H74</f>
        <v>0</v>
      </c>
      <c r="AX74" s="77">
        <f t="shared" ref="AX74:AX120" si="137">IF(AND(Q74&lt;20220401,A74&lt;&gt;"SP"),($AX$3*(AO74+BE74)),0)</f>
        <v>0</v>
      </c>
      <c r="AY74" s="77">
        <f t="shared" ref="AY74:AY120" si="138">IF(AND($L74="N",$Q74&lt;20220401,$A74&lt;&gt;"SP",$AO74&lt;100000),($AY$3*($AO74+$BE74)),0)</f>
        <v>0</v>
      </c>
      <c r="AZ74" s="77">
        <f t="shared" ref="AZ74:AZ120" si="139">IF(AND($L74="N",$Q74&lt;20220401,$A74&lt;&gt;"SP",$AO74&gt;100000),($AZ$3*($AO74+$BE74)),0)</f>
        <v>0</v>
      </c>
      <c r="BA74" s="77">
        <f t="shared" ref="BA74:BA120" si="140">IF(AND($L74="N",$Q74&lt;20220401,$A74&lt;&gt;"SP"),($BA$3*($AO74+$BE74)),0)</f>
        <v>0</v>
      </c>
      <c r="BB74" s="77">
        <f t="shared" ref="BB74:BB120" si="141">IF(AND($L74="Y",$Q74&lt;20220401,$A74&lt;&gt;"SP"),($BB$3*($AO74+$BE74)),0)</f>
        <v>0</v>
      </c>
      <c r="BC74" s="77">
        <f t="shared" si="125"/>
        <v>0</v>
      </c>
      <c r="BD74" s="77">
        <f>IF($S74&gt;=12,IF(($S74*5)&gt;1200,1200,$S74*5),0)*$H74</f>
        <v>1200</v>
      </c>
      <c r="BE74" s="77">
        <v>0</v>
      </c>
      <c r="BF74" s="77">
        <f t="shared" ref="BF74:BF120" si="142">$AM74*$BF$3*12*$H74</f>
        <v>180</v>
      </c>
      <c r="BG74" s="77">
        <f>VLOOKUP($AJ74,BENE!$I$2:$N$9,6,FALSE)*'Position Control'!$H74</f>
        <v>389</v>
      </c>
      <c r="BH74" s="77">
        <f>VLOOKUP($AK74,BENE!$A$2:$F$19,6,FALSE)*'Position Control'!$H74</f>
        <v>6870</v>
      </c>
      <c r="BI74" s="77">
        <f>VLOOKUP($AK74,BENE!$A$2:$G$19,7,FALSE)*'Position Control'!$H74</f>
        <v>0</v>
      </c>
      <c r="BJ74" s="77">
        <f>VLOOKUP($AL74,BENE!$P$2:$S$6,4,FALSE)*'Position Control'!$H74</f>
        <v>0</v>
      </c>
      <c r="BK74" s="77">
        <f>IF($F74&gt;HRS!$H$2,ROUNDUP(((($AN74+$BE74)*$BK$3)/12*9)+(($AN74+$BE74)*HRS!$B$10/12*3),0),0)*$H74</f>
        <v>19509</v>
      </c>
      <c r="BL74" s="80">
        <f t="shared" ref="BL74:BL120" si="143">ROUNDUP($AN74*$AA74,0)*$H74</f>
        <v>1275</v>
      </c>
      <c r="BM74" s="77">
        <f t="shared" ref="BM74:BM120" si="144">ROUNDUP(IF($AN74&gt;9000,$BM$3*9000,$BM$3*$AN74),0)*$H74</f>
        <v>144</v>
      </c>
      <c r="BN74" s="77">
        <f t="shared" ref="BN74:BN120" si="145">IF($AB74="Y",ROUNDUP($AN74*$BN$3,0),0)*$H74</f>
        <v>1678</v>
      </c>
      <c r="BO74" s="77">
        <f t="shared" ref="BO74:BO120" si="146">IF($A74&lt;&gt;"SP",ROUND($BO$3*$AN74,0)*$H74,0)</f>
        <v>208</v>
      </c>
      <c r="BP74" s="77">
        <f t="shared" ref="BP74:BP120" si="147">IF($T74&gt;24,2000,IF($T74&gt;19,1750,IF($T74&gt;14,1500,IF($T74&gt;9.9999999999999,1000,0))))*$H74</f>
        <v>2000</v>
      </c>
      <c r="BQ74" s="77">
        <v>0</v>
      </c>
      <c r="BR74" s="80">
        <f t="shared" ref="BR74:BR85" si="148">SUM(AO74:AW74)+SUM(BC74:BQ74)</f>
        <v>149160</v>
      </c>
    </row>
    <row r="75" spans="1:70" outlineLevel="1" x14ac:dyDescent="0.35">
      <c r="A75" s="1" t="s">
        <v>6</v>
      </c>
      <c r="B75" s="1" t="s">
        <v>74</v>
      </c>
      <c r="C75" s="1" t="s">
        <v>8</v>
      </c>
      <c r="D75" s="1" t="s">
        <v>71</v>
      </c>
      <c r="E75" s="1" t="s">
        <v>89</v>
      </c>
      <c r="F75" s="2">
        <v>1</v>
      </c>
      <c r="G75" s="66">
        <v>1</v>
      </c>
      <c r="H75" s="66">
        <v>1</v>
      </c>
      <c r="I75" s="1" t="s">
        <v>611</v>
      </c>
      <c r="J75" s="1" t="s">
        <v>612</v>
      </c>
      <c r="K75" s="1" t="s">
        <v>128</v>
      </c>
      <c r="L75" s="76" t="str">
        <f>IF(M75="","N",STEP!$J$22)</f>
        <v>Y</v>
      </c>
      <c r="M75" s="1" t="s">
        <v>129</v>
      </c>
      <c r="N75" s="1" t="s">
        <v>130</v>
      </c>
      <c r="O75" s="1">
        <v>2</v>
      </c>
      <c r="P75" s="1">
        <v>3</v>
      </c>
      <c r="Q75" s="185">
        <v>20040707</v>
      </c>
      <c r="R75" s="196">
        <v>38175</v>
      </c>
      <c r="S75" s="197">
        <f t="shared" si="127"/>
        <v>218</v>
      </c>
      <c r="T75" s="66">
        <f t="shared" si="128"/>
        <v>19</v>
      </c>
      <c r="U75" s="65">
        <v>20211002</v>
      </c>
      <c r="V75" s="70">
        <v>52.516599999999997</v>
      </c>
      <c r="W75" s="74">
        <f t="shared" si="100"/>
        <v>9.9999999999988987E-5</v>
      </c>
      <c r="X75" s="70" cm="1">
        <f t="array" ref="X75">IF(U75="","",INDEX(STEP!$C:$C,MATCH('Position Control'!M75&amp;'Position Control'!P75,STEP!$A:$A&amp;STEP!$B:$B,0)))</f>
        <v>54.092100000000002</v>
      </c>
      <c r="Y75" s="74">
        <f t="shared" si="129"/>
        <v>0.99990000000000001</v>
      </c>
      <c r="Z75" s="1">
        <v>7720</v>
      </c>
      <c r="AA75" s="112">
        <f>VLOOKUP(Z75,'WRK COMP'!$A$1:$E$17,5,FALSE)</f>
        <v>1.1011E-2</v>
      </c>
      <c r="AB75" s="76" t="s">
        <v>13</v>
      </c>
      <c r="AC75" s="68">
        <v>0</v>
      </c>
      <c r="AD75" s="68">
        <v>92.31</v>
      </c>
      <c r="AE75" s="68">
        <v>0</v>
      </c>
      <c r="AF75" s="68">
        <v>0</v>
      </c>
      <c r="AG75" s="68">
        <v>0</v>
      </c>
      <c r="AH75" s="68">
        <v>0</v>
      </c>
      <c r="AI75" s="68">
        <v>0</v>
      </c>
      <c r="AJ75" s="1" t="s">
        <v>18</v>
      </c>
      <c r="AK75" s="1" t="s">
        <v>24</v>
      </c>
      <c r="AL75" s="10" t="s">
        <v>49</v>
      </c>
      <c r="AM75" s="78">
        <f>IF(F75&gt;0.79,IF(ROUNDUP(IF(B75="FS",(V75*HRS!$B$9),(V75*HRS!$L$2))*2,-3)&gt;150000,150000,(ROUNDUP(IF(B75="FS",(V75*HRS!$B$9),(V75*HRS!$L$2))*2,-3))),0)</f>
        <v>150000</v>
      </c>
      <c r="AN75" s="188">
        <f t="shared" si="130"/>
        <v>114913</v>
      </c>
      <c r="AO75" s="77">
        <f>IF(L75="N",IF(B75="FS",ROUNDUP($V75*HRS!$B$9*'Position Control'!F75,0),ROUNDUP('Position Control'!$V75*HRS!$L$2*'Position Control'!F75,0)),IF('Position Control'!B75="FS",ROUNDUP(('Position Control'!V75*HRS!$B$9*'Position Control'!W75*'Position Control'!F75)+('Position Control'!X75*HRS!$B$9*'Position Control'!Y75*'Position Control'!F75),0),ROUNDUP(('Position Control'!V75*HRS!$L$2*'Position Control'!W75*'Position Control'!F75)+('Position Control'!X75*HRS!$L$2*'Position Control'!Y75*'Position Control'!F75),0)))*'Position Control'!H75</f>
        <v>112512</v>
      </c>
      <c r="AP75" s="77">
        <f t="shared" si="131"/>
        <v>0</v>
      </c>
      <c r="AQ75" s="77">
        <f t="shared" si="132"/>
        <v>2401</v>
      </c>
      <c r="AR75" s="77">
        <f t="shared" si="133"/>
        <v>0</v>
      </c>
      <c r="AS75" s="77">
        <v>0</v>
      </c>
      <c r="AT75" s="79">
        <f t="shared" si="134"/>
        <v>0</v>
      </c>
      <c r="AU75" s="77">
        <f t="shared" si="135"/>
        <v>0</v>
      </c>
      <c r="AV75" s="77">
        <v>0</v>
      </c>
      <c r="AW75" s="77">
        <f t="shared" si="136"/>
        <v>0</v>
      </c>
      <c r="AX75" s="77">
        <f t="shared" si="137"/>
        <v>0</v>
      </c>
      <c r="AY75" s="77">
        <f t="shared" si="138"/>
        <v>0</v>
      </c>
      <c r="AZ75" s="77">
        <f t="shared" si="139"/>
        <v>0</v>
      </c>
      <c r="BA75" s="77">
        <f t="shared" si="140"/>
        <v>0</v>
      </c>
      <c r="BB75" s="77">
        <f t="shared" si="141"/>
        <v>0</v>
      </c>
      <c r="BC75" s="77">
        <f t="shared" si="125"/>
        <v>0</v>
      </c>
      <c r="BD75" s="77">
        <f>IF($S75&gt;=12,IF(($S75*5)&gt;1200,1200,$S75*5),0)*$H75</f>
        <v>1090</v>
      </c>
      <c r="BE75" s="77">
        <v>0</v>
      </c>
      <c r="BF75" s="77">
        <f t="shared" si="142"/>
        <v>180</v>
      </c>
      <c r="BG75" s="77">
        <f>VLOOKUP($AJ75,BENE!$I$2:$N$9,6,FALSE)*'Position Control'!$H75</f>
        <v>760</v>
      </c>
      <c r="BH75" s="77">
        <f>VLOOKUP($AK75,BENE!$A$2:$F$19,6,FALSE)*'Position Control'!$H75</f>
        <v>7234</v>
      </c>
      <c r="BI75" s="77">
        <f>VLOOKUP($AK75,BENE!$A$2:$G$19,7,FALSE)*'Position Control'!$H75</f>
        <v>0</v>
      </c>
      <c r="BJ75" s="77">
        <f>VLOOKUP($AL75,BENE!$P$2:$S$6,4,FALSE)*'Position Control'!$H75</f>
        <v>0</v>
      </c>
      <c r="BK75" s="77">
        <f>IF($F75&gt;HRS!$H$2,ROUNDUP(((($AN75+$BE75)*$BK$3)/12*9)+(($AN75+$BE75)*HRS!$B$10/12*3),0),0)*$H75</f>
        <v>19375</v>
      </c>
      <c r="BL75" s="80">
        <f t="shared" si="143"/>
        <v>1266</v>
      </c>
      <c r="BM75" s="77">
        <f t="shared" si="144"/>
        <v>144</v>
      </c>
      <c r="BN75" s="77">
        <f t="shared" si="145"/>
        <v>1667</v>
      </c>
      <c r="BO75" s="77">
        <f t="shared" si="146"/>
        <v>207</v>
      </c>
      <c r="BP75" s="77">
        <f t="shared" si="147"/>
        <v>1500</v>
      </c>
      <c r="BQ75" s="77">
        <v>0</v>
      </c>
      <c r="BR75" s="80">
        <f t="shared" si="148"/>
        <v>148336</v>
      </c>
    </row>
    <row r="76" spans="1:70" outlineLevel="1" x14ac:dyDescent="0.35">
      <c r="A76" s="1" t="s">
        <v>6</v>
      </c>
      <c r="B76" s="1" t="s">
        <v>74</v>
      </c>
      <c r="C76" s="1" t="s">
        <v>8</v>
      </c>
      <c r="D76" s="1" t="s">
        <v>71</v>
      </c>
      <c r="E76" s="1" t="s">
        <v>89</v>
      </c>
      <c r="F76" s="2">
        <v>1</v>
      </c>
      <c r="G76" s="66">
        <v>1</v>
      </c>
      <c r="H76" s="66">
        <v>1</v>
      </c>
      <c r="I76" s="1" t="s">
        <v>611</v>
      </c>
      <c r="J76" s="1" t="s">
        <v>612</v>
      </c>
      <c r="K76" s="1" t="s">
        <v>134</v>
      </c>
      <c r="L76" s="76" t="str">
        <f>IF(M76="","N",STEP!$J$22)</f>
        <v>Y</v>
      </c>
      <c r="M76" s="1" t="s">
        <v>129</v>
      </c>
      <c r="N76" s="1" t="s">
        <v>130</v>
      </c>
      <c r="O76" s="1">
        <v>4</v>
      </c>
      <c r="P76" s="1">
        <v>4</v>
      </c>
      <c r="Q76" s="185">
        <v>19920113</v>
      </c>
      <c r="R76" s="196">
        <v>33616</v>
      </c>
      <c r="S76" s="197">
        <f t="shared" si="127"/>
        <v>368</v>
      </c>
      <c r="T76" s="66">
        <f t="shared" si="128"/>
        <v>31</v>
      </c>
      <c r="U76" s="65">
        <v>20211002</v>
      </c>
      <c r="V76" s="70">
        <v>55.7149</v>
      </c>
      <c r="W76" s="74">
        <f t="shared" si="100"/>
        <v>9.9999999999988987E-5</v>
      </c>
      <c r="X76" s="70" cm="1">
        <f t="array" ref="X76">IF(U76="","",INDEX(STEP!$C:$C,MATCH('Position Control'!M76&amp;'Position Control'!P76,STEP!$A:$A&amp;STEP!$B:$B,0)))</f>
        <v>55.7149</v>
      </c>
      <c r="Y76" s="74">
        <f t="shared" si="129"/>
        <v>0.99990000000000001</v>
      </c>
      <c r="Z76" s="1">
        <v>7720</v>
      </c>
      <c r="AA76" s="112">
        <f>VLOOKUP(Z76,'WRK COMP'!$A$1:$E$17,5,FALSE)</f>
        <v>1.1011E-2</v>
      </c>
      <c r="AB76" s="76" t="s">
        <v>13</v>
      </c>
      <c r="AC76" s="68">
        <v>0</v>
      </c>
      <c r="AD76" s="68">
        <v>92.31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1" t="s">
        <v>18</v>
      </c>
      <c r="AK76" s="1" t="s">
        <v>126</v>
      </c>
      <c r="AL76" s="1" t="s">
        <v>58</v>
      </c>
      <c r="AM76" s="78">
        <f>IF(F76&gt;0.79,IF(ROUNDUP(IF(B76="FS",(V76*HRS!$B$9),(V76*HRS!$L$2))*2,-3)&gt;150000,150000,(ROUNDUP(IF(B76="FS",(V76*HRS!$B$9),(V76*HRS!$L$2))*2,-3))),0)</f>
        <v>150000</v>
      </c>
      <c r="AN76" s="188">
        <f t="shared" si="130"/>
        <v>118288</v>
      </c>
      <c r="AO76" s="77">
        <f>IF(L76="N",IF(B76="FS",ROUNDUP($V76*HRS!$B$9*'Position Control'!F76,0),ROUNDUP('Position Control'!$V76*HRS!$L$2*'Position Control'!F76,0)),IF('Position Control'!B76="FS",ROUNDUP(('Position Control'!V76*HRS!$B$9*'Position Control'!W76*'Position Control'!F76)+('Position Control'!X76*HRS!$B$9*'Position Control'!Y76*'Position Control'!F76),0),ROUNDUP(('Position Control'!V76*HRS!$L$2*'Position Control'!W76*'Position Control'!F76)+('Position Control'!X76*HRS!$L$2*'Position Control'!Y76*'Position Control'!F76),0)))*'Position Control'!H76</f>
        <v>115887</v>
      </c>
      <c r="AP76" s="77">
        <f t="shared" si="131"/>
        <v>0</v>
      </c>
      <c r="AQ76" s="77">
        <f t="shared" si="132"/>
        <v>2401</v>
      </c>
      <c r="AR76" s="77">
        <f t="shared" si="133"/>
        <v>0</v>
      </c>
      <c r="AS76" s="77">
        <v>0</v>
      </c>
      <c r="AT76" s="79">
        <f t="shared" si="134"/>
        <v>0</v>
      </c>
      <c r="AU76" s="77">
        <f t="shared" si="135"/>
        <v>0</v>
      </c>
      <c r="AV76" s="77">
        <v>0</v>
      </c>
      <c r="AW76" s="77">
        <f t="shared" si="136"/>
        <v>0</v>
      </c>
      <c r="AX76" s="77">
        <f t="shared" si="137"/>
        <v>0</v>
      </c>
      <c r="AY76" s="77">
        <f t="shared" si="138"/>
        <v>0</v>
      </c>
      <c r="AZ76" s="77">
        <f t="shared" si="139"/>
        <v>0</v>
      </c>
      <c r="BA76" s="77">
        <f t="shared" si="140"/>
        <v>0</v>
      </c>
      <c r="BB76" s="77">
        <f t="shared" si="141"/>
        <v>0</v>
      </c>
      <c r="BC76" s="77">
        <f t="shared" si="125"/>
        <v>0</v>
      </c>
      <c r="BD76" s="77">
        <f t="shared" ref="BD76:BD87" si="149">IF($S76&gt;=12,IF(($S76*5)&gt;1200,1200,$S76*5),0)*$H76</f>
        <v>1200</v>
      </c>
      <c r="BE76" s="77">
        <v>0</v>
      </c>
      <c r="BF76" s="77">
        <f t="shared" si="142"/>
        <v>180</v>
      </c>
      <c r="BG76" s="77">
        <f>VLOOKUP($AJ76,BENE!$I$2:$N$9,6,FALSE)*'Position Control'!$H76</f>
        <v>760</v>
      </c>
      <c r="BH76" s="77">
        <f>VLOOKUP($AK76,BENE!$A$2:$F$19,6,FALSE)*'Position Control'!$H76</f>
        <v>17738</v>
      </c>
      <c r="BI76" s="77">
        <f>VLOOKUP($AK76,BENE!$A$2:$G$19,7,FALSE)*'Position Control'!$H76</f>
        <v>1500</v>
      </c>
      <c r="BJ76" s="77">
        <f>VLOOKUP($AL76,BENE!$P$2:$S$6,4,FALSE)*'Position Control'!$H76</f>
        <v>444</v>
      </c>
      <c r="BK76" s="77">
        <f>IF($F76&gt;HRS!$H$2,ROUNDUP(((($AN76+$BE76)*$BK$3)/12*9)+(($AN76+$BE76)*HRS!$B$10/12*3),0),0)*$H76</f>
        <v>19944</v>
      </c>
      <c r="BL76" s="80">
        <f t="shared" si="143"/>
        <v>1303</v>
      </c>
      <c r="BM76" s="77">
        <f t="shared" si="144"/>
        <v>144</v>
      </c>
      <c r="BN76" s="77">
        <f t="shared" si="145"/>
        <v>1716</v>
      </c>
      <c r="BO76" s="77">
        <f t="shared" si="146"/>
        <v>213</v>
      </c>
      <c r="BP76" s="77">
        <f t="shared" si="147"/>
        <v>2000</v>
      </c>
      <c r="BQ76" s="77">
        <v>0</v>
      </c>
      <c r="BR76" s="80">
        <f t="shared" si="148"/>
        <v>165430</v>
      </c>
    </row>
    <row r="77" spans="1:70" outlineLevel="1" x14ac:dyDescent="0.35">
      <c r="A77" s="1" t="s">
        <v>6</v>
      </c>
      <c r="B77" s="1" t="s">
        <v>74</v>
      </c>
      <c r="C77" s="1" t="s">
        <v>8</v>
      </c>
      <c r="D77" s="1" t="s">
        <v>71</v>
      </c>
      <c r="E77" s="1" t="s">
        <v>89</v>
      </c>
      <c r="F77" s="2">
        <v>1</v>
      </c>
      <c r="G77" s="66">
        <v>1</v>
      </c>
      <c r="H77" s="66">
        <v>1</v>
      </c>
      <c r="I77" s="1" t="s">
        <v>611</v>
      </c>
      <c r="J77" s="1" t="s">
        <v>612</v>
      </c>
      <c r="K77" s="1" t="s">
        <v>104</v>
      </c>
      <c r="L77" s="76" t="str">
        <f>IF(M77="","N",STEP!$J$22)</f>
        <v>Y</v>
      </c>
      <c r="M77" s="1" t="s">
        <v>75</v>
      </c>
      <c r="N77" s="1" t="s">
        <v>76</v>
      </c>
      <c r="O77" s="1">
        <v>5</v>
      </c>
      <c r="P77" s="1">
        <v>5</v>
      </c>
      <c r="Q77" s="185">
        <v>19970103</v>
      </c>
      <c r="R77" s="196">
        <v>35433</v>
      </c>
      <c r="S77" s="197">
        <f t="shared" si="127"/>
        <v>308</v>
      </c>
      <c r="T77" s="66">
        <f t="shared" si="128"/>
        <v>26</v>
      </c>
      <c r="U77" s="65">
        <v>20211002</v>
      </c>
      <c r="V77" s="70">
        <v>49.500599999999999</v>
      </c>
      <c r="W77" s="74">
        <f t="shared" si="100"/>
        <v>9.9999999999988987E-5</v>
      </c>
      <c r="X77" s="70" cm="1">
        <f t="array" ref="X77">IF(U77="","",INDEX(STEP!$C:$C,MATCH('Position Control'!M77&amp;'Position Control'!P77,STEP!$A:$A&amp;STEP!$B:$B,0)))</f>
        <v>49.500599999999999</v>
      </c>
      <c r="Y77" s="74">
        <f t="shared" si="129"/>
        <v>0.99990000000000001</v>
      </c>
      <c r="Z77" s="1">
        <v>7720</v>
      </c>
      <c r="AA77" s="112">
        <f>VLOOKUP(Z77,'WRK COMP'!$A$1:$E$17,5,FALSE)</f>
        <v>1.1011E-2</v>
      </c>
      <c r="AB77" s="76" t="s">
        <v>13</v>
      </c>
      <c r="AC77" s="209">
        <v>0</v>
      </c>
      <c r="AD77" s="209">
        <v>115.38999999999999</v>
      </c>
      <c r="AE77" s="209">
        <v>0</v>
      </c>
      <c r="AF77" s="209">
        <v>23.08</v>
      </c>
      <c r="AG77" s="209">
        <v>0</v>
      </c>
      <c r="AH77" s="209">
        <v>0</v>
      </c>
      <c r="AI77" s="68">
        <v>0</v>
      </c>
      <c r="AJ77" s="10" t="s">
        <v>61</v>
      </c>
      <c r="AK77" s="10" t="s">
        <v>29</v>
      </c>
      <c r="AL77" s="10" t="s">
        <v>58</v>
      </c>
      <c r="AM77" s="78">
        <f>IF(F77&gt;0.79,IF(ROUNDUP(IF(B77="FS",(V77*HRS!$B$9),(V77*HRS!$L$2))*2,-3)&gt;150000,150000,(ROUNDUP(IF(B77="FS",(V77*HRS!$B$9),(V77*HRS!$L$2))*2,-3))),0)</f>
        <v>150000</v>
      </c>
      <c r="AN77" s="188">
        <f t="shared" si="130"/>
        <v>106564</v>
      </c>
      <c r="AO77" s="77">
        <f>IF(L77="N",IF(B77="FS",ROUNDUP($V77*HRS!$B$9*'Position Control'!F77,0),ROUNDUP('Position Control'!$V77*HRS!$L$2*'Position Control'!F77,0)),IF('Position Control'!B77="FS",ROUNDUP(('Position Control'!V77*HRS!$B$9*'Position Control'!W77*'Position Control'!F77)+('Position Control'!X77*HRS!$B$9*'Position Control'!Y77*'Position Control'!F77),0),ROUNDUP(('Position Control'!V77*HRS!$L$2*'Position Control'!W77*'Position Control'!F77)+('Position Control'!X77*HRS!$L$2*'Position Control'!Y77*'Position Control'!F77),0)))*'Position Control'!H77</f>
        <v>102962</v>
      </c>
      <c r="AP77" s="77">
        <f t="shared" si="131"/>
        <v>0</v>
      </c>
      <c r="AQ77" s="77">
        <f t="shared" si="132"/>
        <v>3001</v>
      </c>
      <c r="AR77" s="77">
        <f t="shared" si="133"/>
        <v>0</v>
      </c>
      <c r="AS77" s="77">
        <v>0</v>
      </c>
      <c r="AT77" s="79">
        <f t="shared" si="134"/>
        <v>601</v>
      </c>
      <c r="AU77" s="77">
        <f t="shared" si="135"/>
        <v>0</v>
      </c>
      <c r="AV77" s="77">
        <v>0</v>
      </c>
      <c r="AW77" s="77">
        <f t="shared" si="136"/>
        <v>0</v>
      </c>
      <c r="AX77" s="77">
        <f t="shared" si="137"/>
        <v>0</v>
      </c>
      <c r="AY77" s="77">
        <f t="shared" si="138"/>
        <v>0</v>
      </c>
      <c r="AZ77" s="77">
        <f t="shared" si="139"/>
        <v>0</v>
      </c>
      <c r="BA77" s="77">
        <f t="shared" si="140"/>
        <v>0</v>
      </c>
      <c r="BB77" s="77">
        <f t="shared" si="141"/>
        <v>0</v>
      </c>
      <c r="BC77" s="77">
        <f t="shared" si="125"/>
        <v>0</v>
      </c>
      <c r="BD77" s="77">
        <f t="shared" si="149"/>
        <v>1200</v>
      </c>
      <c r="BE77" s="77">
        <v>0</v>
      </c>
      <c r="BF77" s="77">
        <f t="shared" si="142"/>
        <v>180</v>
      </c>
      <c r="BG77" s="77">
        <f>VLOOKUP($AJ77,BENE!$I$2:$N$9,6,FALSE)*'Position Control'!$H77</f>
        <v>311</v>
      </c>
      <c r="BH77" s="77">
        <f>VLOOKUP($AK77,BENE!$A$2:$F$19,6,FALSE)*'Position Control'!$H77</f>
        <v>15700</v>
      </c>
      <c r="BI77" s="77">
        <f>VLOOKUP($AK77,BENE!$A$2:$G$19,7,FALSE)*'Position Control'!$H77</f>
        <v>1500</v>
      </c>
      <c r="BJ77" s="77">
        <f>VLOOKUP($AL77,BENE!$P$2:$S$6,4,FALSE)*'Position Control'!$H77</f>
        <v>444</v>
      </c>
      <c r="BK77" s="77">
        <f>IF($F77&gt;HRS!$H$2,ROUNDUP(((($AN77+$BE77)*$BK$3)/12*9)+(($AN77+$BE77)*HRS!$B$10/12*3),0),0)*$H77</f>
        <v>17967</v>
      </c>
      <c r="BL77" s="80">
        <f t="shared" si="143"/>
        <v>1174</v>
      </c>
      <c r="BM77" s="77">
        <f t="shared" si="144"/>
        <v>144</v>
      </c>
      <c r="BN77" s="77">
        <f t="shared" si="145"/>
        <v>1546</v>
      </c>
      <c r="BO77" s="77">
        <f t="shared" si="146"/>
        <v>192</v>
      </c>
      <c r="BP77" s="77">
        <f t="shared" si="147"/>
        <v>2000</v>
      </c>
      <c r="BQ77" s="77">
        <v>0</v>
      </c>
      <c r="BR77" s="80">
        <f t="shared" si="148"/>
        <v>148922</v>
      </c>
    </row>
    <row r="78" spans="1:70" outlineLevel="1" x14ac:dyDescent="0.35">
      <c r="A78" s="1" t="s">
        <v>6</v>
      </c>
      <c r="B78" s="1" t="s">
        <v>74</v>
      </c>
      <c r="C78" s="1" t="s">
        <v>8</v>
      </c>
      <c r="D78" s="1" t="s">
        <v>71</v>
      </c>
      <c r="E78" s="1" t="s">
        <v>89</v>
      </c>
      <c r="F78" s="2">
        <v>1</v>
      </c>
      <c r="G78" s="66">
        <v>1</v>
      </c>
      <c r="H78" s="66">
        <v>1</v>
      </c>
      <c r="I78" s="1" t="s">
        <v>611</v>
      </c>
      <c r="J78" s="1" t="s">
        <v>612</v>
      </c>
      <c r="K78" s="1" t="s">
        <v>105</v>
      </c>
      <c r="L78" s="76" t="str">
        <f>IF(M78="","N",STEP!$J$22)</f>
        <v>Y</v>
      </c>
      <c r="M78" s="1" t="s">
        <v>75</v>
      </c>
      <c r="N78" s="1" t="s">
        <v>76</v>
      </c>
      <c r="O78" s="1">
        <v>5</v>
      </c>
      <c r="P78" s="1">
        <v>5</v>
      </c>
      <c r="Q78" s="185">
        <v>20011101</v>
      </c>
      <c r="R78" s="196">
        <v>37196</v>
      </c>
      <c r="S78" s="197">
        <f t="shared" si="127"/>
        <v>250</v>
      </c>
      <c r="T78" s="66">
        <f t="shared" si="128"/>
        <v>21</v>
      </c>
      <c r="U78" s="65">
        <v>20211003</v>
      </c>
      <c r="V78" s="70">
        <v>49.500599999999999</v>
      </c>
      <c r="W78" s="74">
        <f t="shared" si="100"/>
        <v>1.9999999999997797E-4</v>
      </c>
      <c r="X78" s="70" cm="1">
        <f t="array" ref="X78">IF(U78="","",INDEX(STEP!$C:$C,MATCH('Position Control'!M78&amp;'Position Control'!P78,STEP!$A:$A&amp;STEP!$B:$B,0)))</f>
        <v>49.500599999999999</v>
      </c>
      <c r="Y78" s="74">
        <f t="shared" si="129"/>
        <v>0.99980000000000002</v>
      </c>
      <c r="Z78" s="1">
        <v>7720</v>
      </c>
      <c r="AA78" s="112">
        <f>VLOOKUP(Z78,'WRK COMP'!$A$1:$E$17,5,FALSE)</f>
        <v>1.1011E-2</v>
      </c>
      <c r="AB78" s="76" t="s">
        <v>13</v>
      </c>
      <c r="AC78" s="209">
        <v>0</v>
      </c>
      <c r="AD78" s="209">
        <v>69.239999999999995</v>
      </c>
      <c r="AE78" s="209">
        <v>0</v>
      </c>
      <c r="AF78" s="209">
        <v>0</v>
      </c>
      <c r="AG78" s="209">
        <v>0</v>
      </c>
      <c r="AH78" s="209">
        <v>0</v>
      </c>
      <c r="AI78" s="68">
        <v>0</v>
      </c>
      <c r="AJ78" s="10" t="s">
        <v>28</v>
      </c>
      <c r="AK78" s="10" t="s">
        <v>15</v>
      </c>
      <c r="AL78" s="10" t="s">
        <v>36</v>
      </c>
      <c r="AM78" s="78">
        <f>IF(F78&gt;0.79,IF(ROUNDUP(IF(B78="FS",(V78*HRS!$B$9),(V78*HRS!$L$2))*2,-3)&gt;150000,150000,(ROUNDUP(IF(B78="FS",(V78*HRS!$B$9),(V78*HRS!$L$2))*2,-3))),0)</f>
        <v>150000</v>
      </c>
      <c r="AN78" s="188">
        <f t="shared" si="130"/>
        <v>104763</v>
      </c>
      <c r="AO78" s="77">
        <f>IF(L78="N",IF(B78="FS",ROUNDUP($V78*HRS!$B$9*'Position Control'!F78,0),ROUNDUP('Position Control'!$V78*HRS!$L$2*'Position Control'!F78,0)),IF('Position Control'!B78="FS",ROUNDUP(('Position Control'!V78*HRS!$B$9*'Position Control'!W78*'Position Control'!F78)+('Position Control'!X78*HRS!$B$9*'Position Control'!Y78*'Position Control'!F78),0),ROUNDUP(('Position Control'!V78*HRS!$L$2*'Position Control'!W78*'Position Control'!F78)+('Position Control'!X78*HRS!$L$2*'Position Control'!Y78*'Position Control'!F78),0)))*'Position Control'!H78</f>
        <v>102962</v>
      </c>
      <c r="AP78" s="77">
        <f t="shared" si="131"/>
        <v>0</v>
      </c>
      <c r="AQ78" s="77">
        <f t="shared" si="132"/>
        <v>1801</v>
      </c>
      <c r="AR78" s="77">
        <f t="shared" si="133"/>
        <v>0</v>
      </c>
      <c r="AS78" s="77">
        <v>0</v>
      </c>
      <c r="AT78" s="79">
        <f t="shared" si="134"/>
        <v>0</v>
      </c>
      <c r="AU78" s="77">
        <f t="shared" si="135"/>
        <v>0</v>
      </c>
      <c r="AV78" s="77">
        <v>0</v>
      </c>
      <c r="AW78" s="77">
        <f t="shared" si="136"/>
        <v>0</v>
      </c>
      <c r="AX78" s="77">
        <f t="shared" si="137"/>
        <v>0</v>
      </c>
      <c r="AY78" s="77">
        <f t="shared" si="138"/>
        <v>0</v>
      </c>
      <c r="AZ78" s="77">
        <f t="shared" si="139"/>
        <v>0</v>
      </c>
      <c r="BA78" s="77">
        <f t="shared" si="140"/>
        <v>0</v>
      </c>
      <c r="BB78" s="77">
        <f t="shared" si="141"/>
        <v>0</v>
      </c>
      <c r="BC78" s="77">
        <f t="shared" si="125"/>
        <v>0</v>
      </c>
      <c r="BD78" s="77">
        <f t="shared" si="149"/>
        <v>1200</v>
      </c>
      <c r="BE78" s="77">
        <v>0</v>
      </c>
      <c r="BF78" s="77">
        <f t="shared" si="142"/>
        <v>180</v>
      </c>
      <c r="BG78" s="77">
        <f>VLOOKUP($AJ78,BENE!$I$2:$N$9,6,FALSE)*'Position Control'!$H78</f>
        <v>154</v>
      </c>
      <c r="BH78" s="77">
        <f>VLOOKUP($AK78,BENE!$A$2:$F$19,6,FALSE)*'Position Control'!$H78</f>
        <v>6142</v>
      </c>
      <c r="BI78" s="77">
        <f>VLOOKUP($AK78,BENE!$A$2:$G$19,7,FALSE)*'Position Control'!$H78</f>
        <v>1000</v>
      </c>
      <c r="BJ78" s="77">
        <f>VLOOKUP($AL78,BENE!$P$2:$S$6,4,FALSE)*'Position Control'!$H78</f>
        <v>312</v>
      </c>
      <c r="BK78" s="77">
        <f>IF($F78&gt;HRS!$H$2,ROUNDUP(((($AN78+$BE78)*$BK$3)/12*9)+(($AN78+$BE78)*HRS!$B$10/12*3),0),0)*$H78</f>
        <v>17664</v>
      </c>
      <c r="BL78" s="80">
        <f t="shared" si="143"/>
        <v>1154</v>
      </c>
      <c r="BM78" s="77">
        <f t="shared" si="144"/>
        <v>144</v>
      </c>
      <c r="BN78" s="77">
        <f t="shared" si="145"/>
        <v>1520</v>
      </c>
      <c r="BO78" s="77">
        <f t="shared" si="146"/>
        <v>189</v>
      </c>
      <c r="BP78" s="77">
        <f t="shared" si="147"/>
        <v>1750</v>
      </c>
      <c r="BQ78" s="77">
        <v>0</v>
      </c>
      <c r="BR78" s="80">
        <f t="shared" si="148"/>
        <v>136172</v>
      </c>
    </row>
    <row r="79" spans="1:70" outlineLevel="1" x14ac:dyDescent="0.35">
      <c r="A79" s="1" t="s">
        <v>6</v>
      </c>
      <c r="B79" s="1" t="s">
        <v>74</v>
      </c>
      <c r="C79" s="1" t="s">
        <v>8</v>
      </c>
      <c r="D79" s="1" t="s">
        <v>71</v>
      </c>
      <c r="E79" s="1" t="s">
        <v>89</v>
      </c>
      <c r="F79" s="2">
        <v>1</v>
      </c>
      <c r="G79" s="66">
        <v>1</v>
      </c>
      <c r="H79" s="66">
        <v>1</v>
      </c>
      <c r="I79" s="1" t="s">
        <v>611</v>
      </c>
      <c r="J79" s="1" t="s">
        <v>612</v>
      </c>
      <c r="K79" s="1" t="s">
        <v>106</v>
      </c>
      <c r="L79" s="76" t="str">
        <f>IF(M79="","N",STEP!$J$22)</f>
        <v>Y</v>
      </c>
      <c r="M79" s="1" t="s">
        <v>75</v>
      </c>
      <c r="N79" s="1" t="s">
        <v>76</v>
      </c>
      <c r="O79" s="1">
        <v>5</v>
      </c>
      <c r="P79" s="1">
        <v>5</v>
      </c>
      <c r="Q79" s="185">
        <v>19970303</v>
      </c>
      <c r="R79" s="196">
        <v>35492</v>
      </c>
      <c r="S79" s="197">
        <f t="shared" si="127"/>
        <v>306</v>
      </c>
      <c r="T79" s="66">
        <f t="shared" si="128"/>
        <v>26</v>
      </c>
      <c r="U79" s="65">
        <v>20220606</v>
      </c>
      <c r="V79" s="70">
        <v>49.500599999999999</v>
      </c>
      <c r="W79" s="74">
        <f t="shared" si="100"/>
        <v>0.96050000000000002</v>
      </c>
      <c r="X79" s="70" cm="1">
        <f t="array" ref="X79">IF(U79="","",INDEX(STEP!$C:$C,MATCH('Position Control'!M79&amp;'Position Control'!P79,STEP!$A:$A&amp;STEP!$B:$B,0)))</f>
        <v>49.500599999999999</v>
      </c>
      <c r="Y79" s="74">
        <f t="shared" si="129"/>
        <v>3.95E-2</v>
      </c>
      <c r="Z79" s="1">
        <v>7720</v>
      </c>
      <c r="AA79" s="112">
        <f>VLOOKUP(Z79,'WRK COMP'!$A$1:$E$17,5,FALSE)</f>
        <v>1.1011E-2</v>
      </c>
      <c r="AB79" s="76" t="s">
        <v>13</v>
      </c>
      <c r="AC79" s="209">
        <v>0</v>
      </c>
      <c r="AD79" s="209">
        <v>115.38999999999999</v>
      </c>
      <c r="AE79" s="209">
        <v>0</v>
      </c>
      <c r="AF79" s="209">
        <v>0</v>
      </c>
      <c r="AG79" s="209">
        <v>0</v>
      </c>
      <c r="AH79" s="209">
        <v>0</v>
      </c>
      <c r="AI79" s="68">
        <v>0</v>
      </c>
      <c r="AJ79" s="10" t="s">
        <v>18</v>
      </c>
      <c r="AK79" s="10" t="s">
        <v>57</v>
      </c>
      <c r="AL79" s="10" t="s">
        <v>53</v>
      </c>
      <c r="AM79" s="78">
        <f>IF(F79&gt;0.79,IF(ROUNDUP(IF(B79="FS",(V79*HRS!$B$9),(V79*HRS!$L$2))*2,-3)&gt;150000,150000,(ROUNDUP(IF(B79="FS",(V79*HRS!$B$9),(V79*HRS!$L$2))*2,-3))),0)</f>
        <v>150000</v>
      </c>
      <c r="AN79" s="188">
        <f t="shared" si="130"/>
        <v>105963</v>
      </c>
      <c r="AO79" s="77">
        <f>IF(L79="N",IF(B79="FS",ROUNDUP($V79*HRS!$B$9*'Position Control'!F79,0),ROUNDUP('Position Control'!$V79*HRS!$L$2*'Position Control'!F79,0)),IF('Position Control'!B79="FS",ROUNDUP(('Position Control'!V79*HRS!$B$9*'Position Control'!W79*'Position Control'!F79)+('Position Control'!X79*HRS!$B$9*'Position Control'!Y79*'Position Control'!F79),0),ROUNDUP(('Position Control'!V79*HRS!$L$2*'Position Control'!W79*'Position Control'!F79)+('Position Control'!X79*HRS!$L$2*'Position Control'!Y79*'Position Control'!F79),0)))*'Position Control'!H79</f>
        <v>102962</v>
      </c>
      <c r="AP79" s="77">
        <f t="shared" si="131"/>
        <v>0</v>
      </c>
      <c r="AQ79" s="77">
        <f t="shared" si="132"/>
        <v>3001</v>
      </c>
      <c r="AR79" s="77">
        <f t="shared" si="133"/>
        <v>0</v>
      </c>
      <c r="AS79" s="77">
        <v>0</v>
      </c>
      <c r="AT79" s="79">
        <f t="shared" si="134"/>
        <v>0</v>
      </c>
      <c r="AU79" s="77">
        <f t="shared" si="135"/>
        <v>0</v>
      </c>
      <c r="AV79" s="77">
        <v>0</v>
      </c>
      <c r="AW79" s="77">
        <f t="shared" si="136"/>
        <v>0</v>
      </c>
      <c r="AX79" s="77">
        <f t="shared" si="137"/>
        <v>0</v>
      </c>
      <c r="AY79" s="77">
        <f t="shared" si="138"/>
        <v>0</v>
      </c>
      <c r="AZ79" s="77">
        <f t="shared" si="139"/>
        <v>0</v>
      </c>
      <c r="BA79" s="77">
        <f t="shared" si="140"/>
        <v>0</v>
      </c>
      <c r="BB79" s="77">
        <f t="shared" si="141"/>
        <v>0</v>
      </c>
      <c r="BC79" s="77">
        <f t="shared" si="125"/>
        <v>0</v>
      </c>
      <c r="BD79" s="77">
        <f t="shared" si="149"/>
        <v>1200</v>
      </c>
      <c r="BE79" s="77">
        <v>0</v>
      </c>
      <c r="BF79" s="77">
        <f t="shared" si="142"/>
        <v>180</v>
      </c>
      <c r="BG79" s="77">
        <f>VLOOKUP($AJ79,BENE!$I$2:$N$9,6,FALSE)*'Position Control'!$H79</f>
        <v>760</v>
      </c>
      <c r="BH79" s="77">
        <f>VLOOKUP($AK79,BENE!$A$2:$F$19,6,FALSE)*'Position Control'!$H79</f>
        <v>9890</v>
      </c>
      <c r="BI79" s="77">
        <f>VLOOKUP($AK79,BENE!$A$2:$G$19,7,FALSE)*'Position Control'!$H79</f>
        <v>1500</v>
      </c>
      <c r="BJ79" s="77">
        <f>VLOOKUP($AL79,BENE!$P$2:$S$6,4,FALSE)*'Position Control'!$H79</f>
        <v>372</v>
      </c>
      <c r="BK79" s="77">
        <f>IF($F79&gt;HRS!$H$2,ROUNDUP(((($AN79+$BE79)*$BK$3)/12*9)+(($AN79+$BE79)*HRS!$B$10/12*3),0),0)*$H79</f>
        <v>17866</v>
      </c>
      <c r="BL79" s="80">
        <f t="shared" si="143"/>
        <v>1167</v>
      </c>
      <c r="BM79" s="77">
        <f t="shared" si="144"/>
        <v>144</v>
      </c>
      <c r="BN79" s="77">
        <f t="shared" si="145"/>
        <v>1537</v>
      </c>
      <c r="BO79" s="77">
        <f t="shared" si="146"/>
        <v>191</v>
      </c>
      <c r="BP79" s="77">
        <f t="shared" si="147"/>
        <v>2000</v>
      </c>
      <c r="BQ79" s="77">
        <v>0</v>
      </c>
      <c r="BR79" s="80">
        <f t="shared" si="148"/>
        <v>142770</v>
      </c>
    </row>
    <row r="80" spans="1:70" outlineLevel="1" x14ac:dyDescent="0.35">
      <c r="A80" s="1" t="s">
        <v>6</v>
      </c>
      <c r="B80" s="1" t="s">
        <v>74</v>
      </c>
      <c r="C80" s="1" t="s">
        <v>8</v>
      </c>
      <c r="D80" s="1" t="s">
        <v>71</v>
      </c>
      <c r="E80" s="1" t="s">
        <v>89</v>
      </c>
      <c r="F80" s="2">
        <v>1</v>
      </c>
      <c r="G80" s="66">
        <v>1</v>
      </c>
      <c r="H80" s="66">
        <v>1</v>
      </c>
      <c r="I80" s="1" t="s">
        <v>611</v>
      </c>
      <c r="J80" s="1" t="s">
        <v>612</v>
      </c>
      <c r="K80" s="1" t="s">
        <v>101</v>
      </c>
      <c r="L80" s="76" t="str">
        <f>IF(M80="","N",STEP!$J$22)</f>
        <v>Y</v>
      </c>
      <c r="M80" s="1" t="s">
        <v>256</v>
      </c>
      <c r="N80" s="1" t="s">
        <v>102</v>
      </c>
      <c r="O80" s="1">
        <v>3</v>
      </c>
      <c r="P80" s="1">
        <v>4</v>
      </c>
      <c r="Q80" s="185">
        <v>19931014</v>
      </c>
      <c r="R80" s="196">
        <v>34256</v>
      </c>
      <c r="S80" s="197">
        <f t="shared" si="127"/>
        <v>347</v>
      </c>
      <c r="T80" s="66">
        <f t="shared" si="128"/>
        <v>29</v>
      </c>
      <c r="U80" s="65">
        <v>20211002</v>
      </c>
      <c r="V80" s="70">
        <v>42.1631</v>
      </c>
      <c r="W80" s="74">
        <f t="shared" si="100"/>
        <v>9.9999999999988987E-5</v>
      </c>
      <c r="X80" s="70" cm="1">
        <f t="array" ref="X80">IF(U80="","",INDEX(STEP!$C:$C,MATCH('Position Control'!M80&amp;'Position Control'!P80,STEP!$A:$A&amp;STEP!$B:$B,0)))</f>
        <v>43.427999999999997</v>
      </c>
      <c r="Y80" s="74">
        <f t="shared" si="129"/>
        <v>0.99990000000000001</v>
      </c>
      <c r="Z80" s="1">
        <v>7720</v>
      </c>
      <c r="AA80" s="112">
        <f>VLOOKUP(Z80,'WRK COMP'!$A$1:$E$17,5,FALSE)</f>
        <v>1.1011E-2</v>
      </c>
      <c r="AB80" s="76" t="s">
        <v>13</v>
      </c>
      <c r="AC80" s="68">
        <v>0</v>
      </c>
      <c r="AD80" s="209">
        <v>115.38999999999999</v>
      </c>
      <c r="AE80" s="209">
        <v>0</v>
      </c>
      <c r="AF80" s="209">
        <v>23.08</v>
      </c>
      <c r="AG80" s="68">
        <v>0</v>
      </c>
      <c r="AH80" s="68">
        <v>0</v>
      </c>
      <c r="AI80" s="68">
        <v>0</v>
      </c>
      <c r="AJ80" s="10" t="s">
        <v>25</v>
      </c>
      <c r="AK80" s="10" t="s">
        <v>26</v>
      </c>
      <c r="AL80" s="10" t="s">
        <v>49</v>
      </c>
      <c r="AM80" s="78">
        <f>IF(F80&gt;0.79,IF(ROUNDUP(IF(B80="FS",(V80*HRS!$B$9),(V80*HRS!$L$2))*2,-3)&gt;150000,150000,(ROUNDUP(IF(B80="FS",(V80*HRS!$B$9),(V80*HRS!$L$2))*2,-3))),0)</f>
        <v>150000</v>
      </c>
      <c r="AN80" s="188">
        <f t="shared" si="130"/>
        <v>93932</v>
      </c>
      <c r="AO80" s="77">
        <f>IF(L80="N",IF(B80="FS",ROUNDUP($V80*HRS!$B$9*'Position Control'!F80,0),ROUNDUP('Position Control'!$V80*HRS!$L$2*'Position Control'!F80,0)),IF('Position Control'!B80="FS",ROUNDUP(('Position Control'!V80*HRS!$B$9*'Position Control'!W80*'Position Control'!F80)+('Position Control'!X80*HRS!$B$9*'Position Control'!Y80*'Position Control'!F80),0),ROUNDUP(('Position Control'!V80*HRS!$L$2*'Position Control'!W80*'Position Control'!F80)+('Position Control'!X80*HRS!$L$2*'Position Control'!Y80*'Position Control'!F80),0)))*'Position Control'!H80</f>
        <v>90330</v>
      </c>
      <c r="AP80" s="77">
        <f t="shared" si="131"/>
        <v>0</v>
      </c>
      <c r="AQ80" s="77">
        <f t="shared" si="132"/>
        <v>3001</v>
      </c>
      <c r="AR80" s="77">
        <f t="shared" si="133"/>
        <v>0</v>
      </c>
      <c r="AS80" s="77">
        <v>0</v>
      </c>
      <c r="AT80" s="79">
        <f t="shared" si="134"/>
        <v>601</v>
      </c>
      <c r="AU80" s="77">
        <f t="shared" si="135"/>
        <v>0</v>
      </c>
      <c r="AV80" s="77">
        <v>0</v>
      </c>
      <c r="AW80" s="77">
        <f t="shared" si="136"/>
        <v>0</v>
      </c>
      <c r="AX80" s="77">
        <f t="shared" si="137"/>
        <v>0</v>
      </c>
      <c r="AY80" s="77">
        <f t="shared" si="138"/>
        <v>0</v>
      </c>
      <c r="AZ80" s="77">
        <f t="shared" si="139"/>
        <v>0</v>
      </c>
      <c r="BA80" s="77">
        <f t="shared" si="140"/>
        <v>0</v>
      </c>
      <c r="BB80" s="77">
        <f t="shared" si="141"/>
        <v>0</v>
      </c>
      <c r="BC80" s="77">
        <f t="shared" si="125"/>
        <v>0</v>
      </c>
      <c r="BD80" s="77">
        <f t="shared" si="149"/>
        <v>1200</v>
      </c>
      <c r="BE80" s="77">
        <v>0</v>
      </c>
      <c r="BF80" s="77">
        <f t="shared" si="142"/>
        <v>180</v>
      </c>
      <c r="BG80" s="77">
        <f>VLOOKUP($AJ80,BENE!$I$2:$N$9,6,FALSE)*'Position Control'!$H80</f>
        <v>414</v>
      </c>
      <c r="BH80" s="77">
        <f>VLOOKUP($AK80,BENE!$A$2:$F$19,6,FALSE)*'Position Control'!$H80</f>
        <v>12406</v>
      </c>
      <c r="BI80" s="77">
        <f>VLOOKUP($AK80,BENE!$A$2:$G$19,7,FALSE)*'Position Control'!$H80</f>
        <v>0</v>
      </c>
      <c r="BJ80" s="77">
        <f>VLOOKUP($AL80,BENE!$P$2:$S$6,4,FALSE)*'Position Control'!$H80</f>
        <v>0</v>
      </c>
      <c r="BK80" s="77">
        <f>IF($F80&gt;HRS!$H$2,ROUNDUP(((($AN80+$BE80)*$BK$3)/12*9)+(($AN80+$BE80)*HRS!$B$10/12*3),0),0)*$H80</f>
        <v>15837</v>
      </c>
      <c r="BL80" s="80">
        <f t="shared" si="143"/>
        <v>1035</v>
      </c>
      <c r="BM80" s="77">
        <f t="shared" si="144"/>
        <v>144</v>
      </c>
      <c r="BN80" s="77">
        <f t="shared" si="145"/>
        <v>1363</v>
      </c>
      <c r="BO80" s="77">
        <f t="shared" si="146"/>
        <v>169</v>
      </c>
      <c r="BP80" s="77">
        <f t="shared" si="147"/>
        <v>2000</v>
      </c>
      <c r="BQ80" s="77">
        <v>0</v>
      </c>
      <c r="BR80" s="80">
        <f t="shared" si="148"/>
        <v>128680</v>
      </c>
    </row>
    <row r="81" spans="1:70" outlineLevel="1" x14ac:dyDescent="0.35">
      <c r="A81" s="1" t="s">
        <v>6</v>
      </c>
      <c r="B81" s="1" t="s">
        <v>74</v>
      </c>
      <c r="C81" s="1" t="s">
        <v>8</v>
      </c>
      <c r="D81" s="1" t="s">
        <v>71</v>
      </c>
      <c r="E81" s="1" t="s">
        <v>89</v>
      </c>
      <c r="F81" s="2">
        <v>1</v>
      </c>
      <c r="G81" s="66">
        <v>1</v>
      </c>
      <c r="H81" s="66">
        <v>1</v>
      </c>
      <c r="I81" s="1" t="s">
        <v>611</v>
      </c>
      <c r="J81" s="1" t="s">
        <v>612</v>
      </c>
      <c r="K81" s="1" t="s">
        <v>136</v>
      </c>
      <c r="L81" s="76" t="str">
        <f>IF(M81="","N",STEP!$J$22)</f>
        <v>Y</v>
      </c>
      <c r="M81" s="1" t="s">
        <v>256</v>
      </c>
      <c r="N81" s="1" t="s">
        <v>102</v>
      </c>
      <c r="O81" s="1">
        <v>3</v>
      </c>
      <c r="P81" s="1">
        <v>4</v>
      </c>
      <c r="Q81" s="185">
        <v>20090429</v>
      </c>
      <c r="R81" s="196">
        <v>39932</v>
      </c>
      <c r="S81" s="197">
        <f t="shared" si="127"/>
        <v>161</v>
      </c>
      <c r="T81" s="66">
        <f t="shared" si="128"/>
        <v>14</v>
      </c>
      <c r="U81" s="65">
        <v>20221001</v>
      </c>
      <c r="V81" s="70">
        <v>42.1631</v>
      </c>
      <c r="W81" s="74">
        <f t="shared" si="100"/>
        <v>1</v>
      </c>
      <c r="X81" s="70" cm="1">
        <f t="array" ref="X81">IF(U81="","",INDEX(STEP!$C:$C,MATCH('Position Control'!M81&amp;'Position Control'!P81,STEP!$A:$A&amp;STEP!$B:$B,0)))</f>
        <v>43.427999999999997</v>
      </c>
      <c r="Y81" s="74">
        <f t="shared" si="129"/>
        <v>0</v>
      </c>
      <c r="Z81" s="1">
        <v>7720</v>
      </c>
      <c r="AA81" s="112">
        <f>VLOOKUP(Z81,'WRK COMP'!$A$1:$E$17,5,FALSE)</f>
        <v>1.1011E-2</v>
      </c>
      <c r="AB81" s="76" t="s">
        <v>13</v>
      </c>
      <c r="AC81" s="68">
        <v>0</v>
      </c>
      <c r="AD81" s="209">
        <v>115.38999999999999</v>
      </c>
      <c r="AE81" s="209">
        <v>0</v>
      </c>
      <c r="AF81" s="209">
        <v>0</v>
      </c>
      <c r="AG81" s="68">
        <v>0</v>
      </c>
      <c r="AH81" s="68">
        <v>0</v>
      </c>
      <c r="AI81" s="68">
        <v>0</v>
      </c>
      <c r="AJ81" s="10" t="s">
        <v>14</v>
      </c>
      <c r="AK81" s="10" t="s">
        <v>43</v>
      </c>
      <c r="AL81" s="10" t="s">
        <v>49</v>
      </c>
      <c r="AM81" s="78">
        <f>IF(F81&gt;0.79,IF(ROUNDUP(IF(B81="FS",(V81*HRS!$B$9),(V81*HRS!$L$2))*2,-3)&gt;150000,150000,(ROUNDUP(IF(B81="FS",(V81*HRS!$B$9),(V81*HRS!$L$2))*2,-3))),0)</f>
        <v>150000</v>
      </c>
      <c r="AN81" s="188">
        <f t="shared" si="130"/>
        <v>90701</v>
      </c>
      <c r="AO81" s="77">
        <f>IF(L81="N",IF(B81="FS",ROUNDUP($V81*HRS!$B$9*'Position Control'!F81,0),ROUNDUP('Position Control'!$V81*HRS!$L$2*'Position Control'!F81,0)),IF('Position Control'!B81="FS",ROUNDUP(('Position Control'!V81*HRS!$B$9*'Position Control'!W81*'Position Control'!F81)+('Position Control'!X81*HRS!$B$9*'Position Control'!Y81*'Position Control'!F81),0),ROUNDUP(('Position Control'!V81*HRS!$L$2*'Position Control'!W81*'Position Control'!F81)+('Position Control'!X81*HRS!$L$2*'Position Control'!Y81*'Position Control'!F81),0)))*'Position Control'!H81</f>
        <v>87700</v>
      </c>
      <c r="AP81" s="77">
        <f t="shared" si="131"/>
        <v>0</v>
      </c>
      <c r="AQ81" s="77">
        <f t="shared" si="132"/>
        <v>3001</v>
      </c>
      <c r="AR81" s="77">
        <f t="shared" si="133"/>
        <v>0</v>
      </c>
      <c r="AS81" s="77">
        <v>0</v>
      </c>
      <c r="AT81" s="79">
        <f t="shared" si="134"/>
        <v>0</v>
      </c>
      <c r="AU81" s="77">
        <f t="shared" si="135"/>
        <v>0</v>
      </c>
      <c r="AV81" s="77">
        <v>0</v>
      </c>
      <c r="AW81" s="77">
        <f t="shared" si="136"/>
        <v>0</v>
      </c>
      <c r="AX81" s="77">
        <f t="shared" si="137"/>
        <v>0</v>
      </c>
      <c r="AY81" s="77">
        <f t="shared" si="138"/>
        <v>0</v>
      </c>
      <c r="AZ81" s="77">
        <f t="shared" si="139"/>
        <v>0</v>
      </c>
      <c r="BA81" s="77">
        <f t="shared" si="140"/>
        <v>0</v>
      </c>
      <c r="BB81" s="77">
        <f t="shared" si="141"/>
        <v>0</v>
      </c>
      <c r="BC81" s="77">
        <f t="shared" si="125"/>
        <v>0</v>
      </c>
      <c r="BD81" s="77">
        <f t="shared" si="149"/>
        <v>805</v>
      </c>
      <c r="BE81" s="77">
        <v>0</v>
      </c>
      <c r="BF81" s="77">
        <f t="shared" si="142"/>
        <v>180</v>
      </c>
      <c r="BG81" s="77">
        <f>VLOOKUP($AJ81,BENE!$I$2:$N$9,6,FALSE)*'Position Control'!$H81</f>
        <v>389</v>
      </c>
      <c r="BH81" s="77">
        <f>VLOOKUP($AK81,BENE!$A$2:$F$19,6,FALSE)*'Position Control'!$H81</f>
        <v>6870</v>
      </c>
      <c r="BI81" s="77">
        <f>VLOOKUP($AK81,BENE!$A$2:$G$19,7,FALSE)*'Position Control'!$H81</f>
        <v>0</v>
      </c>
      <c r="BJ81" s="77">
        <f>VLOOKUP($AL81,BENE!$P$2:$S$6,4,FALSE)*'Position Control'!$H81</f>
        <v>0</v>
      </c>
      <c r="BK81" s="77">
        <f>IF($F81&gt;HRS!$H$2,ROUNDUP(((($AN81+$BE81)*$BK$3)/12*9)+(($AN81+$BE81)*HRS!$B$10/12*3),0),0)*$H81</f>
        <v>15293</v>
      </c>
      <c r="BL81" s="80">
        <f t="shared" si="143"/>
        <v>999</v>
      </c>
      <c r="BM81" s="77">
        <f t="shared" si="144"/>
        <v>144</v>
      </c>
      <c r="BN81" s="77">
        <f t="shared" si="145"/>
        <v>1316</v>
      </c>
      <c r="BO81" s="77">
        <f t="shared" si="146"/>
        <v>163</v>
      </c>
      <c r="BP81" s="77">
        <f t="shared" si="147"/>
        <v>1000</v>
      </c>
      <c r="BQ81" s="77">
        <v>0</v>
      </c>
      <c r="BR81" s="80">
        <f t="shared" si="148"/>
        <v>117860</v>
      </c>
    </row>
    <row r="82" spans="1:70" outlineLevel="1" x14ac:dyDescent="0.35">
      <c r="A82" s="1" t="s">
        <v>6</v>
      </c>
      <c r="B82" s="1" t="s">
        <v>74</v>
      </c>
      <c r="C82" s="1" t="s">
        <v>8</v>
      </c>
      <c r="D82" s="1" t="s">
        <v>71</v>
      </c>
      <c r="E82" s="1" t="s">
        <v>89</v>
      </c>
      <c r="F82" s="2">
        <v>1</v>
      </c>
      <c r="G82" s="66">
        <v>1</v>
      </c>
      <c r="H82" s="66">
        <v>1</v>
      </c>
      <c r="I82" s="1" t="s">
        <v>611</v>
      </c>
      <c r="J82" s="1" t="s">
        <v>612</v>
      </c>
      <c r="K82" s="1" t="s">
        <v>139</v>
      </c>
      <c r="L82" s="76" t="str">
        <f>IF(M82="","N",STEP!$J$22)</f>
        <v>Y</v>
      </c>
      <c r="M82" s="1" t="s">
        <v>256</v>
      </c>
      <c r="N82" s="1" t="s">
        <v>102</v>
      </c>
      <c r="O82" s="1">
        <v>2</v>
      </c>
      <c r="P82" s="1">
        <v>3</v>
      </c>
      <c r="Q82" s="185">
        <v>20170816</v>
      </c>
      <c r="R82" s="196">
        <v>42963</v>
      </c>
      <c r="S82" s="197">
        <f t="shared" si="127"/>
        <v>61</v>
      </c>
      <c r="T82" s="66">
        <f t="shared" si="128"/>
        <v>6</v>
      </c>
      <c r="U82" s="65">
        <v>20211002</v>
      </c>
      <c r="V82" s="70">
        <v>40.935099999999998</v>
      </c>
      <c r="W82" s="74">
        <f t="shared" si="100"/>
        <v>9.9999999999988987E-5</v>
      </c>
      <c r="X82" s="70" cm="1">
        <f t="array" ref="X82">IF(U82="","",INDEX(STEP!$C:$C,MATCH('Position Control'!M82&amp;'Position Control'!P82,STEP!$A:$A&amp;STEP!$B:$B,0)))</f>
        <v>42.1631</v>
      </c>
      <c r="Y82" s="74">
        <f t="shared" si="129"/>
        <v>0.99990000000000001</v>
      </c>
      <c r="Z82" s="1">
        <v>7720</v>
      </c>
      <c r="AA82" s="112">
        <f>VLOOKUP(Z82,'WRK COMP'!$A$1:$E$17,5,FALSE)</f>
        <v>1.1011E-2</v>
      </c>
      <c r="AB82" s="76" t="s">
        <v>13</v>
      </c>
      <c r="AC82" s="68">
        <v>0</v>
      </c>
      <c r="AD82" s="209">
        <v>57.69</v>
      </c>
      <c r="AE82" s="209">
        <v>0</v>
      </c>
      <c r="AF82" s="209">
        <v>0</v>
      </c>
      <c r="AG82" s="68">
        <v>0</v>
      </c>
      <c r="AH82" s="68">
        <v>0</v>
      </c>
      <c r="AI82" s="68">
        <v>0</v>
      </c>
      <c r="AJ82" s="10" t="s">
        <v>49</v>
      </c>
      <c r="AK82" s="10" t="s">
        <v>49</v>
      </c>
      <c r="AL82" s="10" t="s">
        <v>49</v>
      </c>
      <c r="AM82" s="78">
        <f>IF(F82&gt;0.79,IF(ROUNDUP(IF(B82="FS",(V82*HRS!$B$9),(V82*HRS!$L$2))*2,-3)&gt;150000,150000,(ROUNDUP(IF(B82="FS",(V82*HRS!$B$9),(V82*HRS!$L$2))*2,-3))),0)</f>
        <v>150000</v>
      </c>
      <c r="AN82" s="188">
        <f t="shared" si="130"/>
        <v>89199</v>
      </c>
      <c r="AO82" s="77">
        <f>IF(L82="N",IF(B82="FS",ROUNDUP($V82*HRS!$B$9*'Position Control'!F82,0),ROUNDUP('Position Control'!$V82*HRS!$L$2*'Position Control'!F82,0)),IF('Position Control'!B82="FS",ROUNDUP(('Position Control'!V82*HRS!$B$9*'Position Control'!W82*'Position Control'!F82)+('Position Control'!X82*HRS!$B$9*'Position Control'!Y82*'Position Control'!F82),0),ROUNDUP(('Position Control'!V82*HRS!$L$2*'Position Control'!W82*'Position Control'!F82)+('Position Control'!X82*HRS!$L$2*'Position Control'!Y82*'Position Control'!F82),0)))*'Position Control'!H82</f>
        <v>87699</v>
      </c>
      <c r="AP82" s="77">
        <f t="shared" si="131"/>
        <v>0</v>
      </c>
      <c r="AQ82" s="77">
        <f t="shared" si="132"/>
        <v>1500</v>
      </c>
      <c r="AR82" s="77">
        <f t="shared" si="133"/>
        <v>0</v>
      </c>
      <c r="AS82" s="77">
        <v>0</v>
      </c>
      <c r="AT82" s="79">
        <f t="shared" si="134"/>
        <v>0</v>
      </c>
      <c r="AU82" s="77">
        <f t="shared" si="135"/>
        <v>0</v>
      </c>
      <c r="AV82" s="77">
        <v>0</v>
      </c>
      <c r="AW82" s="77">
        <f t="shared" si="136"/>
        <v>0</v>
      </c>
      <c r="AX82" s="77">
        <f t="shared" si="137"/>
        <v>0</v>
      </c>
      <c r="AY82" s="77">
        <f t="shared" si="138"/>
        <v>0</v>
      </c>
      <c r="AZ82" s="77">
        <f t="shared" si="139"/>
        <v>0</v>
      </c>
      <c r="BA82" s="77">
        <f t="shared" si="140"/>
        <v>0</v>
      </c>
      <c r="BB82" s="77">
        <f t="shared" si="141"/>
        <v>0</v>
      </c>
      <c r="BC82" s="77">
        <f t="shared" si="125"/>
        <v>0</v>
      </c>
      <c r="BD82" s="77">
        <f t="shared" si="149"/>
        <v>305</v>
      </c>
      <c r="BE82" s="77">
        <v>0</v>
      </c>
      <c r="BF82" s="77">
        <f t="shared" si="142"/>
        <v>180</v>
      </c>
      <c r="BG82" s="77">
        <f>VLOOKUP($AJ82,BENE!$I$2:$N$9,6,FALSE)*'Position Control'!$H82</f>
        <v>0</v>
      </c>
      <c r="BH82" s="77">
        <f>VLOOKUP($AK82,BENE!$A$2:$F$19,6,FALSE)*'Position Control'!$H82</f>
        <v>0</v>
      </c>
      <c r="BI82" s="77">
        <f>VLOOKUP($AK82,BENE!$A$2:$G$19,7,FALSE)*'Position Control'!$H82</f>
        <v>0</v>
      </c>
      <c r="BJ82" s="77">
        <f>VLOOKUP($AL82,BENE!$P$2:$S$6,4,FALSE)*'Position Control'!$H82</f>
        <v>0</v>
      </c>
      <c r="BK82" s="77">
        <f>IF($F82&gt;HRS!$H$2,ROUNDUP(((($AN82+$BE82)*$BK$3)/12*9)+(($AN82+$BE82)*HRS!$B$10/12*3),0),0)*$H82</f>
        <v>15039</v>
      </c>
      <c r="BL82" s="80">
        <f t="shared" si="143"/>
        <v>983</v>
      </c>
      <c r="BM82" s="77">
        <f t="shared" si="144"/>
        <v>144</v>
      </c>
      <c r="BN82" s="77">
        <f t="shared" si="145"/>
        <v>1294</v>
      </c>
      <c r="BO82" s="77">
        <f t="shared" si="146"/>
        <v>161</v>
      </c>
      <c r="BP82" s="77">
        <f t="shared" si="147"/>
        <v>0</v>
      </c>
      <c r="BQ82" s="77">
        <v>0</v>
      </c>
      <c r="BR82" s="80">
        <f t="shared" si="148"/>
        <v>107305</v>
      </c>
    </row>
    <row r="83" spans="1:70" outlineLevel="1" x14ac:dyDescent="0.35">
      <c r="A83" s="1" t="s">
        <v>6</v>
      </c>
      <c r="B83" s="1" t="s">
        <v>74</v>
      </c>
      <c r="C83" s="1" t="s">
        <v>8</v>
      </c>
      <c r="D83" s="1" t="s">
        <v>71</v>
      </c>
      <c r="E83" s="1" t="s">
        <v>89</v>
      </c>
      <c r="F83" s="2">
        <v>1</v>
      </c>
      <c r="G83" s="66">
        <v>1</v>
      </c>
      <c r="H83" s="66">
        <v>1</v>
      </c>
      <c r="I83" s="1" t="s">
        <v>611</v>
      </c>
      <c r="J83" s="1" t="s">
        <v>612</v>
      </c>
      <c r="K83" s="1" t="s">
        <v>113</v>
      </c>
      <c r="L83" s="76" t="str">
        <f>IF(M83="","N",STEP!$J$22)</f>
        <v>Y</v>
      </c>
      <c r="M83" s="1" t="s">
        <v>256</v>
      </c>
      <c r="N83" s="1" t="s">
        <v>102</v>
      </c>
      <c r="O83" s="1">
        <v>4</v>
      </c>
      <c r="P83" s="1">
        <v>4</v>
      </c>
      <c r="Q83" s="185">
        <v>19931001</v>
      </c>
      <c r="R83" s="196">
        <v>34243</v>
      </c>
      <c r="S83" s="197">
        <f t="shared" si="127"/>
        <v>347</v>
      </c>
      <c r="T83" s="66">
        <f t="shared" si="128"/>
        <v>29</v>
      </c>
      <c r="U83" s="65">
        <v>20211002</v>
      </c>
      <c r="V83" s="70">
        <v>43.427999999999997</v>
      </c>
      <c r="W83" s="74">
        <f t="shared" si="100"/>
        <v>9.9999999999988987E-5</v>
      </c>
      <c r="X83" s="70" cm="1">
        <f t="array" ref="X83">IF(U83="","",INDEX(STEP!$C:$C,MATCH('Position Control'!M83&amp;'Position Control'!P83,STEP!$A:$A&amp;STEP!$B:$B,0)))</f>
        <v>43.427999999999997</v>
      </c>
      <c r="Y83" s="74">
        <f t="shared" si="129"/>
        <v>0.99990000000000001</v>
      </c>
      <c r="Z83" s="1">
        <v>7720</v>
      </c>
      <c r="AA83" s="112">
        <f>VLOOKUP(Z83,'WRK COMP'!$A$1:$E$17,5,FALSE)</f>
        <v>1.1011E-2</v>
      </c>
      <c r="AB83" s="76" t="s">
        <v>13</v>
      </c>
      <c r="AC83" s="68">
        <v>0</v>
      </c>
      <c r="AD83" s="209">
        <v>115.38999999999999</v>
      </c>
      <c r="AE83" s="209">
        <v>0</v>
      </c>
      <c r="AF83" s="209">
        <v>23.08</v>
      </c>
      <c r="AG83" s="68">
        <v>0</v>
      </c>
      <c r="AH83" s="68">
        <v>0</v>
      </c>
      <c r="AI83" s="68">
        <v>0</v>
      </c>
      <c r="AJ83" s="10" t="s">
        <v>41</v>
      </c>
      <c r="AK83" s="10" t="s">
        <v>24</v>
      </c>
      <c r="AL83" s="10" t="s">
        <v>49</v>
      </c>
      <c r="AM83" s="78">
        <f>IF(F83&gt;0.79,IF(ROUNDUP(IF(B83="FS",(V83*HRS!$B$9),(V83*HRS!$L$2))*2,-3)&gt;150000,150000,(ROUNDUP(IF(B83="FS",(V83*HRS!$B$9),(V83*HRS!$L$2))*2,-3))),0)</f>
        <v>150000</v>
      </c>
      <c r="AN83" s="188">
        <f t="shared" si="130"/>
        <v>93933</v>
      </c>
      <c r="AO83" s="77">
        <f>IF(L83="N",IF(B83="FS",ROUNDUP($V83*HRS!$B$9*'Position Control'!F83,0),ROUNDUP('Position Control'!$V83*HRS!$L$2*'Position Control'!F83,0)),IF('Position Control'!B83="FS",ROUNDUP(('Position Control'!V83*HRS!$B$9*'Position Control'!W83*'Position Control'!F83)+('Position Control'!X83*HRS!$B$9*'Position Control'!Y83*'Position Control'!F83),0),ROUNDUP(('Position Control'!V83*HRS!$L$2*'Position Control'!W83*'Position Control'!F83)+('Position Control'!X83*HRS!$L$2*'Position Control'!Y83*'Position Control'!F83),0)))*'Position Control'!H83</f>
        <v>90331</v>
      </c>
      <c r="AP83" s="77">
        <f t="shared" si="131"/>
        <v>0</v>
      </c>
      <c r="AQ83" s="77">
        <f t="shared" si="132"/>
        <v>3001</v>
      </c>
      <c r="AR83" s="77">
        <f t="shared" si="133"/>
        <v>0</v>
      </c>
      <c r="AS83" s="77">
        <v>0</v>
      </c>
      <c r="AT83" s="79">
        <f t="shared" si="134"/>
        <v>601</v>
      </c>
      <c r="AU83" s="77">
        <f t="shared" si="135"/>
        <v>0</v>
      </c>
      <c r="AV83" s="77">
        <v>0</v>
      </c>
      <c r="AW83" s="77">
        <f t="shared" si="136"/>
        <v>0</v>
      </c>
      <c r="AX83" s="77">
        <f t="shared" si="137"/>
        <v>0</v>
      </c>
      <c r="AY83" s="77">
        <f t="shared" si="138"/>
        <v>0</v>
      </c>
      <c r="AZ83" s="77">
        <f t="shared" si="139"/>
        <v>0</v>
      </c>
      <c r="BA83" s="77">
        <f t="shared" si="140"/>
        <v>0</v>
      </c>
      <c r="BB83" s="77">
        <f t="shared" si="141"/>
        <v>0</v>
      </c>
      <c r="BC83" s="77">
        <f t="shared" si="125"/>
        <v>0</v>
      </c>
      <c r="BD83" s="77">
        <f t="shared" si="149"/>
        <v>1200</v>
      </c>
      <c r="BE83" s="77">
        <v>0</v>
      </c>
      <c r="BF83" s="77">
        <f t="shared" si="142"/>
        <v>180</v>
      </c>
      <c r="BG83" s="77">
        <f>VLOOKUP($AJ83,BENE!$I$2:$N$9,6,FALSE)*'Position Control'!$H83</f>
        <v>214</v>
      </c>
      <c r="BH83" s="77">
        <f>VLOOKUP($AK83,BENE!$A$2:$F$19,6,FALSE)*'Position Control'!$H83</f>
        <v>7234</v>
      </c>
      <c r="BI83" s="77">
        <f>VLOOKUP($AK83,BENE!$A$2:$G$19,7,FALSE)*'Position Control'!$H83</f>
        <v>0</v>
      </c>
      <c r="BJ83" s="77">
        <f>VLOOKUP($AL83,BENE!$P$2:$S$6,4,FALSE)*'Position Control'!$H83</f>
        <v>0</v>
      </c>
      <c r="BK83" s="77">
        <f>IF($F83&gt;HRS!$H$2,ROUNDUP(((($AN83+$BE83)*$BK$3)/12*9)+(($AN83+$BE83)*HRS!$B$10/12*3),0),0)*$H83</f>
        <v>15838</v>
      </c>
      <c r="BL83" s="80">
        <f t="shared" si="143"/>
        <v>1035</v>
      </c>
      <c r="BM83" s="77">
        <f t="shared" si="144"/>
        <v>144</v>
      </c>
      <c r="BN83" s="77">
        <f t="shared" si="145"/>
        <v>1363</v>
      </c>
      <c r="BO83" s="77">
        <f t="shared" si="146"/>
        <v>169</v>
      </c>
      <c r="BP83" s="77">
        <f t="shared" si="147"/>
        <v>2000</v>
      </c>
      <c r="BQ83" s="77">
        <v>0</v>
      </c>
      <c r="BR83" s="80">
        <f t="shared" si="148"/>
        <v>123310</v>
      </c>
    </row>
    <row r="84" spans="1:70" outlineLevel="1" x14ac:dyDescent="0.35">
      <c r="A84" s="10" t="s">
        <v>6</v>
      </c>
      <c r="B84" s="1" t="s">
        <v>74</v>
      </c>
      <c r="C84" s="1" t="s">
        <v>8</v>
      </c>
      <c r="D84" s="1" t="s">
        <v>71</v>
      </c>
      <c r="E84" s="1" t="s">
        <v>89</v>
      </c>
      <c r="F84" s="2">
        <v>1</v>
      </c>
      <c r="G84" s="66">
        <v>1</v>
      </c>
      <c r="H84" s="66">
        <v>1</v>
      </c>
      <c r="I84" s="10" t="s">
        <v>411</v>
      </c>
      <c r="J84" s="10" t="s">
        <v>408</v>
      </c>
      <c r="K84" s="1" t="s">
        <v>125</v>
      </c>
      <c r="L84" s="76" t="str">
        <f>IF(M84="","N",STEP!$J$22)</f>
        <v>Y</v>
      </c>
      <c r="M84" s="1" t="s">
        <v>79</v>
      </c>
      <c r="N84" s="1" t="s">
        <v>80</v>
      </c>
      <c r="O84" s="1">
        <v>1</v>
      </c>
      <c r="P84" s="1">
        <v>1</v>
      </c>
      <c r="Q84" s="185">
        <v>20221002</v>
      </c>
      <c r="R84" s="196">
        <v>44836</v>
      </c>
      <c r="S84" s="197">
        <f t="shared" si="127"/>
        <v>0</v>
      </c>
      <c r="T84" s="66">
        <f t="shared" si="128"/>
        <v>0</v>
      </c>
      <c r="U84" s="65">
        <v>20220601</v>
      </c>
      <c r="V84" s="70">
        <v>30.937999999999999</v>
      </c>
      <c r="W84" s="74">
        <f t="shared" si="100"/>
        <v>0.96</v>
      </c>
      <c r="X84" s="70" cm="1">
        <f t="array" ref="X84">IF(U84="","",INDEX(STEP!$C:$C,MATCH('Position Control'!M84&amp;'Position Control'!P84,STEP!$A:$A&amp;STEP!$B:$B,0)))</f>
        <v>30.937999999999999</v>
      </c>
      <c r="Y84" s="74">
        <f t="shared" si="129"/>
        <v>0.04</v>
      </c>
      <c r="Z84" s="1">
        <v>7720</v>
      </c>
      <c r="AA84" s="112">
        <f>VLOOKUP(Z84,'WRK COMP'!$A$1:$E$17,5,FALSE)</f>
        <v>1.1011E-2</v>
      </c>
      <c r="AB84" s="76" t="s">
        <v>13</v>
      </c>
      <c r="AC84" s="68">
        <v>0</v>
      </c>
      <c r="AD84" s="68">
        <v>0</v>
      </c>
      <c r="AE84" s="68">
        <v>0</v>
      </c>
      <c r="AF84" s="68">
        <v>0</v>
      </c>
      <c r="AG84" s="68">
        <v>0</v>
      </c>
      <c r="AH84" s="68">
        <v>0</v>
      </c>
      <c r="AI84" s="68">
        <v>0</v>
      </c>
      <c r="AJ84" s="10" t="s">
        <v>49</v>
      </c>
      <c r="AK84" s="10" t="s">
        <v>49</v>
      </c>
      <c r="AL84" s="10" t="s">
        <v>49</v>
      </c>
      <c r="AM84" s="78">
        <f>IF(F84&gt;0.79,IF(ROUNDUP(IF(B84="FS",(V84*HRS!$B$9),(V84*HRS!$L$2))*2,-3)&gt;150000,150000,(ROUNDUP(IF(B84="FS",(V84*HRS!$B$9),(V84*HRS!$L$2))*2,-3))),0)</f>
        <v>129000</v>
      </c>
      <c r="AN84" s="188">
        <f t="shared" si="130"/>
        <v>64352</v>
      </c>
      <c r="AO84" s="77">
        <f>IF(L84="N",IF(B84="FS",ROUNDUP($V84*HRS!$B$9*'Position Control'!F84,0),ROUNDUP('Position Control'!$V84*HRS!$L$2*'Position Control'!F84,0)),IF('Position Control'!B84="FS",ROUNDUP(('Position Control'!V84*HRS!$B$9*'Position Control'!W84*'Position Control'!F84)+('Position Control'!X84*HRS!$B$9*'Position Control'!Y84*'Position Control'!F84),0),ROUNDUP(('Position Control'!V84*HRS!$L$2*'Position Control'!W84*'Position Control'!F84)+('Position Control'!X84*HRS!$L$2*'Position Control'!Y84*'Position Control'!F84),0)))*'Position Control'!H84</f>
        <v>64352</v>
      </c>
      <c r="AP84" s="77">
        <f t="shared" si="131"/>
        <v>0</v>
      </c>
      <c r="AQ84" s="77">
        <f t="shared" si="132"/>
        <v>0</v>
      </c>
      <c r="AR84" s="77">
        <f t="shared" si="133"/>
        <v>0</v>
      </c>
      <c r="AS84" s="77">
        <v>0</v>
      </c>
      <c r="AT84" s="79">
        <f t="shared" si="134"/>
        <v>0</v>
      </c>
      <c r="AU84" s="77">
        <f t="shared" si="135"/>
        <v>0</v>
      </c>
      <c r="AV84" s="77">
        <v>0</v>
      </c>
      <c r="AW84" s="77">
        <f t="shared" si="136"/>
        <v>0</v>
      </c>
      <c r="AX84" s="77">
        <f t="shared" si="137"/>
        <v>0</v>
      </c>
      <c r="AY84" s="77">
        <f t="shared" si="138"/>
        <v>0</v>
      </c>
      <c r="AZ84" s="77">
        <f t="shared" si="139"/>
        <v>0</v>
      </c>
      <c r="BA84" s="77">
        <f t="shared" si="140"/>
        <v>0</v>
      </c>
      <c r="BB84" s="77">
        <f t="shared" si="141"/>
        <v>0</v>
      </c>
      <c r="BC84" s="77">
        <f t="shared" si="125"/>
        <v>0</v>
      </c>
      <c r="BD84" s="77">
        <f t="shared" si="149"/>
        <v>0</v>
      </c>
      <c r="BE84" s="77">
        <v>0</v>
      </c>
      <c r="BF84" s="77">
        <f t="shared" si="142"/>
        <v>154.80000000000001</v>
      </c>
      <c r="BG84" s="77">
        <f>VLOOKUP($AJ84,BENE!$I$2:$N$9,6,FALSE)*'Position Control'!$H84</f>
        <v>0</v>
      </c>
      <c r="BH84" s="77">
        <f>VLOOKUP($AK84,BENE!$A$2:$F$19,6,FALSE)*'Position Control'!$H84</f>
        <v>0</v>
      </c>
      <c r="BI84" s="77">
        <f>VLOOKUP($AK84,BENE!$A$2:$G$19,7,FALSE)*'Position Control'!$H84</f>
        <v>0</v>
      </c>
      <c r="BJ84" s="77">
        <f>VLOOKUP($AL84,BENE!$P$2:$S$6,4,FALSE)*'Position Control'!$H84</f>
        <v>0</v>
      </c>
      <c r="BK84" s="77">
        <f>IF($F84&gt;HRS!$H$2,ROUNDUP(((($AN84+$BE84)*$BK$3)/12*9)+(($AN84+$BE84)*HRS!$B$10/12*3),0),0)*$H84</f>
        <v>10850</v>
      </c>
      <c r="BL84" s="80">
        <f t="shared" si="143"/>
        <v>709</v>
      </c>
      <c r="BM84" s="77">
        <f t="shared" si="144"/>
        <v>144</v>
      </c>
      <c r="BN84" s="77">
        <f t="shared" si="145"/>
        <v>934</v>
      </c>
      <c r="BO84" s="77">
        <f t="shared" si="146"/>
        <v>116</v>
      </c>
      <c r="BP84" s="77">
        <f t="shared" si="147"/>
        <v>0</v>
      </c>
      <c r="BQ84" s="77">
        <v>0</v>
      </c>
      <c r="BR84" s="80">
        <f t="shared" si="148"/>
        <v>77259.8</v>
      </c>
    </row>
    <row r="85" spans="1:70" outlineLevel="1" x14ac:dyDescent="0.35">
      <c r="A85" s="10" t="s">
        <v>6</v>
      </c>
      <c r="B85" s="1" t="s">
        <v>74</v>
      </c>
      <c r="C85" s="1" t="s">
        <v>8</v>
      </c>
      <c r="D85" s="1" t="s">
        <v>71</v>
      </c>
      <c r="E85" s="1" t="s">
        <v>89</v>
      </c>
      <c r="F85" s="2">
        <v>1</v>
      </c>
      <c r="G85" s="66">
        <v>1</v>
      </c>
      <c r="H85" s="66">
        <v>1</v>
      </c>
      <c r="I85" s="10" t="s">
        <v>411</v>
      </c>
      <c r="J85" s="10" t="s">
        <v>408</v>
      </c>
      <c r="K85" s="1" t="s">
        <v>125</v>
      </c>
      <c r="L85" s="76" t="str">
        <f>IF(M85="","N",STEP!$J$22)</f>
        <v>Y</v>
      </c>
      <c r="M85" s="1" t="s">
        <v>79</v>
      </c>
      <c r="N85" s="1" t="s">
        <v>80</v>
      </c>
      <c r="O85" s="1">
        <v>1</v>
      </c>
      <c r="P85" s="1">
        <v>1</v>
      </c>
      <c r="Q85" s="185">
        <v>20221002</v>
      </c>
      <c r="R85" s="196">
        <v>44836</v>
      </c>
      <c r="S85" s="197">
        <f t="shared" si="127"/>
        <v>0</v>
      </c>
      <c r="T85" s="66">
        <f t="shared" si="128"/>
        <v>0</v>
      </c>
      <c r="U85" s="65">
        <v>20220601</v>
      </c>
      <c r="V85" s="70">
        <v>30.937999999999999</v>
      </c>
      <c r="W85" s="74">
        <f t="shared" si="100"/>
        <v>0.96</v>
      </c>
      <c r="X85" s="70" cm="1">
        <f t="array" ref="X85">IF(U85="","",INDEX(STEP!$C:$C,MATCH('Position Control'!M85&amp;'Position Control'!P85,STEP!$A:$A&amp;STEP!$B:$B,0)))</f>
        <v>30.937999999999999</v>
      </c>
      <c r="Y85" s="74">
        <f t="shared" si="129"/>
        <v>0.04</v>
      </c>
      <c r="Z85" s="1">
        <v>7720</v>
      </c>
      <c r="AA85" s="112">
        <f>VLOOKUP(Z85,'WRK COMP'!$A$1:$E$17,5,FALSE)</f>
        <v>1.1011E-2</v>
      </c>
      <c r="AB85" s="76" t="s">
        <v>13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10" t="s">
        <v>49</v>
      </c>
      <c r="AK85" s="10" t="s">
        <v>49</v>
      </c>
      <c r="AL85" s="10" t="s">
        <v>49</v>
      </c>
      <c r="AM85" s="78">
        <f>IF(F85&gt;0.79,IF(ROUNDUP(IF(B85="FS",(V85*HRS!$B$9),(V85*HRS!$L$2))*2,-3)&gt;150000,150000,(ROUNDUP(IF(B85="FS",(V85*HRS!$B$9),(V85*HRS!$L$2))*2,-3))),0)</f>
        <v>129000</v>
      </c>
      <c r="AN85" s="188">
        <f t="shared" si="130"/>
        <v>64352</v>
      </c>
      <c r="AO85" s="77">
        <f>IF(L85="N",IF(B85="FS",ROUNDUP($V85*HRS!$B$9*'Position Control'!F85,0),ROUNDUP('Position Control'!$V85*HRS!$L$2*'Position Control'!F85,0)),IF('Position Control'!B85="FS",ROUNDUP(('Position Control'!V85*HRS!$B$9*'Position Control'!W85*'Position Control'!F85)+('Position Control'!X85*HRS!$B$9*'Position Control'!Y85*'Position Control'!F85),0),ROUNDUP(('Position Control'!V85*HRS!$L$2*'Position Control'!W85*'Position Control'!F85)+('Position Control'!X85*HRS!$L$2*'Position Control'!Y85*'Position Control'!F85),0)))*'Position Control'!H85</f>
        <v>64352</v>
      </c>
      <c r="AP85" s="77">
        <f t="shared" si="131"/>
        <v>0</v>
      </c>
      <c r="AQ85" s="77">
        <f t="shared" si="132"/>
        <v>0</v>
      </c>
      <c r="AR85" s="77">
        <f t="shared" si="133"/>
        <v>0</v>
      </c>
      <c r="AS85" s="77">
        <v>0</v>
      </c>
      <c r="AT85" s="79">
        <f t="shared" si="134"/>
        <v>0</v>
      </c>
      <c r="AU85" s="77">
        <f t="shared" si="135"/>
        <v>0</v>
      </c>
      <c r="AV85" s="77">
        <v>0</v>
      </c>
      <c r="AW85" s="77">
        <f t="shared" si="136"/>
        <v>0</v>
      </c>
      <c r="AX85" s="77">
        <f t="shared" si="137"/>
        <v>0</v>
      </c>
      <c r="AY85" s="77">
        <f t="shared" si="138"/>
        <v>0</v>
      </c>
      <c r="AZ85" s="77">
        <f t="shared" si="139"/>
        <v>0</v>
      </c>
      <c r="BA85" s="77">
        <f t="shared" si="140"/>
        <v>0</v>
      </c>
      <c r="BB85" s="77">
        <f t="shared" si="141"/>
        <v>0</v>
      </c>
      <c r="BC85" s="77">
        <f t="shared" si="125"/>
        <v>0</v>
      </c>
      <c r="BD85" s="77">
        <f t="shared" si="149"/>
        <v>0</v>
      </c>
      <c r="BE85" s="77">
        <v>0</v>
      </c>
      <c r="BF85" s="77">
        <f t="shared" si="142"/>
        <v>154.80000000000001</v>
      </c>
      <c r="BG85" s="77">
        <f>VLOOKUP($AJ85,BENE!$I$2:$N$9,6,FALSE)*'Position Control'!$H85</f>
        <v>0</v>
      </c>
      <c r="BH85" s="77">
        <f>VLOOKUP($AK85,BENE!$A$2:$F$19,6,FALSE)*'Position Control'!$H85</f>
        <v>0</v>
      </c>
      <c r="BI85" s="77">
        <f>VLOOKUP($AK85,BENE!$A$2:$G$19,7,FALSE)*'Position Control'!$H85</f>
        <v>0</v>
      </c>
      <c r="BJ85" s="77">
        <f>VLOOKUP($AL85,BENE!$P$2:$S$6,4,FALSE)*'Position Control'!$H85</f>
        <v>0</v>
      </c>
      <c r="BK85" s="77">
        <f>IF($F85&gt;HRS!$H$2,ROUNDUP(((($AN85+$BE85)*$BK$3)/12*9)+(($AN85+$BE85)*HRS!$B$10/12*3),0),0)*$H85</f>
        <v>10850</v>
      </c>
      <c r="BL85" s="80">
        <f t="shared" si="143"/>
        <v>709</v>
      </c>
      <c r="BM85" s="77">
        <f t="shared" si="144"/>
        <v>144</v>
      </c>
      <c r="BN85" s="77">
        <f t="shared" si="145"/>
        <v>934</v>
      </c>
      <c r="BO85" s="77">
        <f t="shared" si="146"/>
        <v>116</v>
      </c>
      <c r="BP85" s="77">
        <f t="shared" si="147"/>
        <v>0</v>
      </c>
      <c r="BQ85" s="77">
        <v>0</v>
      </c>
      <c r="BR85" s="80">
        <f t="shared" si="148"/>
        <v>77259.8</v>
      </c>
    </row>
    <row r="86" spans="1:70" outlineLevel="1" x14ac:dyDescent="0.35">
      <c r="A86" s="1" t="s">
        <v>6</v>
      </c>
      <c r="B86" s="1" t="s">
        <v>74</v>
      </c>
      <c r="C86" s="1" t="s">
        <v>8</v>
      </c>
      <c r="D86" s="1" t="s">
        <v>71</v>
      </c>
      <c r="E86" s="1" t="s">
        <v>89</v>
      </c>
      <c r="F86" s="2">
        <v>1</v>
      </c>
      <c r="G86" s="66">
        <v>1</v>
      </c>
      <c r="H86" s="66">
        <v>1</v>
      </c>
      <c r="I86" s="1" t="s">
        <v>611</v>
      </c>
      <c r="J86" s="1" t="s">
        <v>612</v>
      </c>
      <c r="K86" s="1" t="s">
        <v>135</v>
      </c>
      <c r="L86" s="76" t="str">
        <f>IF(M86="","N",STEP!$J$22)</f>
        <v>Y</v>
      </c>
      <c r="M86" s="1" t="s">
        <v>79</v>
      </c>
      <c r="N86" s="1" t="s">
        <v>80</v>
      </c>
      <c r="O86" s="1">
        <v>2</v>
      </c>
      <c r="P86" s="1">
        <v>3</v>
      </c>
      <c r="Q86" s="185">
        <v>20191211</v>
      </c>
      <c r="R86" s="196">
        <v>43810</v>
      </c>
      <c r="S86" s="197">
        <f t="shared" si="127"/>
        <v>33</v>
      </c>
      <c r="T86" s="66">
        <f t="shared" si="128"/>
        <v>3</v>
      </c>
      <c r="U86" s="65">
        <v>20211104</v>
      </c>
      <c r="V86" s="70">
        <v>32.098199999999999</v>
      </c>
      <c r="W86" s="74">
        <f t="shared" ref="W86:W114" si="150">IF(U86="","",(1-Y86))</f>
        <v>1.0299999999999976E-2</v>
      </c>
      <c r="X86" s="70" cm="1">
        <f t="array" ref="X86">IF(U86="","",INDEX(STEP!$C:$C,MATCH('Position Control'!M86&amp;'Position Control'!P86,STEP!$A:$A&amp;STEP!$B:$B,0)))</f>
        <v>33.3018</v>
      </c>
      <c r="Y86" s="74">
        <f t="shared" si="129"/>
        <v>0.98970000000000002</v>
      </c>
      <c r="Z86" s="1">
        <v>7720</v>
      </c>
      <c r="AA86" s="112">
        <f>VLOOKUP(Z86,'WRK COMP'!$A$1:$E$17,5,FALSE)</f>
        <v>1.1011E-2</v>
      </c>
      <c r="AB86" s="76" t="s">
        <v>13</v>
      </c>
      <c r="AC86" s="68">
        <v>0</v>
      </c>
      <c r="AD86" s="209">
        <v>57.69</v>
      </c>
      <c r="AE86" s="209">
        <v>0</v>
      </c>
      <c r="AF86" s="209">
        <v>0</v>
      </c>
      <c r="AG86" s="68">
        <v>0</v>
      </c>
      <c r="AH86" s="68">
        <v>0</v>
      </c>
      <c r="AI86" s="68">
        <v>0</v>
      </c>
      <c r="AJ86" s="10" t="s">
        <v>49</v>
      </c>
      <c r="AK86" s="10" t="s">
        <v>49</v>
      </c>
      <c r="AL86" s="10" t="s">
        <v>49</v>
      </c>
      <c r="AM86" s="78">
        <f>IF(F86&gt;0.79,IF(ROUNDUP(IF(B86="FS",(V86*HRS!$B$9),(V86*HRS!$L$2))*2,-3)&gt;150000,150000,(ROUNDUP(IF(B86="FS",(V86*HRS!$B$9),(V86*HRS!$L$2))*2,-3))),0)</f>
        <v>134000</v>
      </c>
      <c r="AN86" s="188">
        <f t="shared" ref="AN86" si="151">SUM(AO86:BB86)</f>
        <v>70742</v>
      </c>
      <c r="AO86" s="77">
        <f>IF(L86="N",IF(B86="FS",ROUNDUP($V86*HRS!$B$9*'Position Control'!F86,0),ROUNDUP('Position Control'!$V86*HRS!$L$2*'Position Control'!F86,0)),IF('Position Control'!B86="FS",ROUNDUP(('Position Control'!V86*HRS!$B$9*'Position Control'!W86*'Position Control'!F86)+('Position Control'!X86*HRS!$B$9*'Position Control'!Y86*'Position Control'!F86),0),ROUNDUP(('Position Control'!V86*HRS!$L$2*'Position Control'!W86*'Position Control'!F86)+('Position Control'!X86*HRS!$L$2*'Position Control'!Y86*'Position Control'!F86),0)))*'Position Control'!H86</f>
        <v>69242</v>
      </c>
      <c r="AP86" s="77">
        <f t="shared" si="131"/>
        <v>0</v>
      </c>
      <c r="AQ86" s="77">
        <f t="shared" si="132"/>
        <v>1500</v>
      </c>
      <c r="AR86" s="77">
        <f t="shared" si="133"/>
        <v>0</v>
      </c>
      <c r="AS86" s="77">
        <v>0</v>
      </c>
      <c r="AT86" s="79">
        <f t="shared" si="134"/>
        <v>0</v>
      </c>
      <c r="AU86" s="77">
        <f t="shared" si="135"/>
        <v>0</v>
      </c>
      <c r="AV86" s="77">
        <v>0</v>
      </c>
      <c r="AW86" s="77">
        <f t="shared" si="136"/>
        <v>0</v>
      </c>
      <c r="AX86" s="77">
        <f t="shared" si="137"/>
        <v>0</v>
      </c>
      <c r="AY86" s="77">
        <f t="shared" si="138"/>
        <v>0</v>
      </c>
      <c r="AZ86" s="77">
        <f t="shared" si="139"/>
        <v>0</v>
      </c>
      <c r="BA86" s="77">
        <f t="shared" si="140"/>
        <v>0</v>
      </c>
      <c r="BB86" s="77">
        <f t="shared" si="141"/>
        <v>0</v>
      </c>
      <c r="BC86" s="77">
        <f t="shared" ref="BC86:BC125" si="152">SUM(AX86:BB86)</f>
        <v>0</v>
      </c>
      <c r="BD86" s="77">
        <f t="shared" si="149"/>
        <v>165</v>
      </c>
      <c r="BE86" s="77">
        <v>0</v>
      </c>
      <c r="BF86" s="77">
        <f t="shared" si="142"/>
        <v>160.80000000000001</v>
      </c>
      <c r="BG86" s="77">
        <f>VLOOKUP($AJ86,BENE!$I$2:$N$9,6,FALSE)*'Position Control'!$H86</f>
        <v>0</v>
      </c>
      <c r="BH86" s="77">
        <f>VLOOKUP($AK86,BENE!$A$2:$F$19,6,FALSE)*'Position Control'!$H86</f>
        <v>0</v>
      </c>
      <c r="BI86" s="77">
        <f>VLOOKUP($AK86,BENE!$A$2:$G$19,7,FALSE)*'Position Control'!$H86</f>
        <v>0</v>
      </c>
      <c r="BJ86" s="77">
        <f>VLOOKUP($AL86,BENE!$P$2:$S$6,4,FALSE)*'Position Control'!$H86</f>
        <v>0</v>
      </c>
      <c r="BK86" s="77">
        <f>IF($F86&gt;HRS!$H$2,ROUNDUP(((($AN86+$BE86)*$BK$3)/12*9)+(($AN86+$BE86)*HRS!$B$10/12*3),0),0)*$H86</f>
        <v>11928</v>
      </c>
      <c r="BL86" s="80">
        <f t="shared" si="143"/>
        <v>779</v>
      </c>
      <c r="BM86" s="77">
        <f t="shared" si="144"/>
        <v>144</v>
      </c>
      <c r="BN86" s="77">
        <f t="shared" si="145"/>
        <v>1026</v>
      </c>
      <c r="BO86" s="77">
        <f t="shared" si="146"/>
        <v>127</v>
      </c>
      <c r="BP86" s="77">
        <f t="shared" si="147"/>
        <v>0</v>
      </c>
      <c r="BQ86" s="77">
        <v>0</v>
      </c>
      <c r="BR86" s="80">
        <f t="shared" ref="BR86" si="153">SUM(AO86:AW86)+SUM(BC86:BQ86)</f>
        <v>85071.8</v>
      </c>
    </row>
    <row r="87" spans="1:70" outlineLevel="1" x14ac:dyDescent="0.35">
      <c r="A87" s="1" t="s">
        <v>6</v>
      </c>
      <c r="B87" s="1" t="s">
        <v>74</v>
      </c>
      <c r="C87" s="1" t="s">
        <v>8</v>
      </c>
      <c r="D87" s="1" t="s">
        <v>71</v>
      </c>
      <c r="E87" s="1" t="s">
        <v>89</v>
      </c>
      <c r="F87" s="2">
        <v>1</v>
      </c>
      <c r="G87" s="66">
        <v>1</v>
      </c>
      <c r="H87" s="66">
        <v>1</v>
      </c>
      <c r="I87" s="1" t="s">
        <v>611</v>
      </c>
      <c r="J87" s="1" t="s">
        <v>612</v>
      </c>
      <c r="K87" s="1" t="s">
        <v>138</v>
      </c>
      <c r="L87" s="76" t="str">
        <f>IF(M87="","N",STEP!$J$22)</f>
        <v>Y</v>
      </c>
      <c r="M87" s="1" t="s">
        <v>79</v>
      </c>
      <c r="N87" s="1" t="s">
        <v>80</v>
      </c>
      <c r="O87" s="1">
        <v>7</v>
      </c>
      <c r="P87" s="1">
        <v>7</v>
      </c>
      <c r="Q87" s="185">
        <v>19960125</v>
      </c>
      <c r="R87" s="196">
        <v>35089</v>
      </c>
      <c r="S87" s="197">
        <f t="shared" si="127"/>
        <v>320</v>
      </c>
      <c r="T87" s="66">
        <f t="shared" si="128"/>
        <v>27</v>
      </c>
      <c r="U87" s="65">
        <v>20211003</v>
      </c>
      <c r="V87" s="70">
        <v>38.5852</v>
      </c>
      <c r="W87" s="74">
        <f t="shared" si="150"/>
        <v>1.9999999999997797E-4</v>
      </c>
      <c r="X87" s="70" cm="1">
        <f t="array" ref="X87">IF(U87="","",INDEX(STEP!$C:$C,MATCH('Position Control'!M87&amp;'Position Control'!P87,STEP!$A:$A&amp;STEP!$B:$B,0)))</f>
        <v>38.5852</v>
      </c>
      <c r="Y87" s="74">
        <f t="shared" si="129"/>
        <v>0.99980000000000002</v>
      </c>
      <c r="Z87" s="1">
        <v>7720</v>
      </c>
      <c r="AA87" s="112">
        <f>VLOOKUP(Z87,'WRK COMP'!$A$1:$E$17,5,FALSE)</f>
        <v>1.1011E-2</v>
      </c>
      <c r="AB87" s="76" t="s">
        <v>13</v>
      </c>
      <c r="AC87" s="68">
        <v>0</v>
      </c>
      <c r="AD87" s="209">
        <v>69.239999999999995</v>
      </c>
      <c r="AE87" s="209">
        <v>0</v>
      </c>
      <c r="AF87" s="209">
        <v>23.08</v>
      </c>
      <c r="AG87" s="68">
        <v>0</v>
      </c>
      <c r="AH87" s="68">
        <v>0</v>
      </c>
      <c r="AI87" s="68">
        <v>0</v>
      </c>
      <c r="AJ87" s="10" t="s">
        <v>14</v>
      </c>
      <c r="AK87" s="10" t="s">
        <v>24</v>
      </c>
      <c r="AL87" s="10" t="s">
        <v>49</v>
      </c>
      <c r="AM87" s="78">
        <f>IF(F87&gt;0.79,IF(ROUNDUP(IF(B87="FS",(V87*HRS!$B$9),(V87*HRS!$L$2))*2,-3)&gt;150000,150000,(ROUNDUP(IF(B87="FS",(V87*HRS!$B$9),(V87*HRS!$L$2))*2,-3))),0)</f>
        <v>150000</v>
      </c>
      <c r="AN87" s="188">
        <f t="shared" ref="AN87:AN113" si="154">SUM(AO87:BB87)</f>
        <v>82660</v>
      </c>
      <c r="AO87" s="77">
        <f>IF(L87="N",IF(B87="FS",ROUNDUP($V87*HRS!$B$9*'Position Control'!F87,0),ROUNDUP('Position Control'!$V87*HRS!$L$2*'Position Control'!F87,0)),IF('Position Control'!B87="FS",ROUNDUP(('Position Control'!V87*HRS!$B$9*'Position Control'!W87*'Position Control'!F87)+('Position Control'!X87*HRS!$B$9*'Position Control'!Y87*'Position Control'!F87),0),ROUNDUP(('Position Control'!V87*HRS!$L$2*'Position Control'!W87*'Position Control'!F87)+('Position Control'!X87*HRS!$L$2*'Position Control'!Y87*'Position Control'!F87),0)))*'Position Control'!H87</f>
        <v>80258</v>
      </c>
      <c r="AP87" s="77">
        <f t="shared" si="131"/>
        <v>0</v>
      </c>
      <c r="AQ87" s="77">
        <f t="shared" si="132"/>
        <v>1801</v>
      </c>
      <c r="AR87" s="77">
        <f t="shared" si="133"/>
        <v>0</v>
      </c>
      <c r="AS87" s="77">
        <v>0</v>
      </c>
      <c r="AT87" s="79">
        <f t="shared" si="134"/>
        <v>601</v>
      </c>
      <c r="AU87" s="77">
        <f t="shared" si="135"/>
        <v>0</v>
      </c>
      <c r="AV87" s="77">
        <v>0</v>
      </c>
      <c r="AW87" s="77">
        <f t="shared" si="136"/>
        <v>0</v>
      </c>
      <c r="AX87" s="77">
        <f t="shared" si="137"/>
        <v>0</v>
      </c>
      <c r="AY87" s="77">
        <f t="shared" si="138"/>
        <v>0</v>
      </c>
      <c r="AZ87" s="77">
        <f t="shared" si="139"/>
        <v>0</v>
      </c>
      <c r="BA87" s="77">
        <f t="shared" si="140"/>
        <v>0</v>
      </c>
      <c r="BB87" s="77">
        <f t="shared" si="141"/>
        <v>0</v>
      </c>
      <c r="BC87" s="77">
        <f t="shared" si="152"/>
        <v>0</v>
      </c>
      <c r="BD87" s="77">
        <f t="shared" si="149"/>
        <v>1200</v>
      </c>
      <c r="BE87" s="77">
        <v>0</v>
      </c>
      <c r="BF87" s="77">
        <f t="shared" si="142"/>
        <v>180</v>
      </c>
      <c r="BG87" s="77">
        <f>VLOOKUP($AJ87,BENE!$I$2:$N$9,6,FALSE)*'Position Control'!$H87</f>
        <v>389</v>
      </c>
      <c r="BH87" s="77">
        <f>VLOOKUP($AK87,BENE!$A$2:$F$19,6,FALSE)*'Position Control'!$H87</f>
        <v>7234</v>
      </c>
      <c r="BI87" s="77">
        <f>VLOOKUP($AK87,BENE!$A$2:$G$19,7,FALSE)*'Position Control'!$H87</f>
        <v>0</v>
      </c>
      <c r="BJ87" s="77">
        <f>VLOOKUP($AL87,BENE!$P$2:$S$6,4,FALSE)*'Position Control'!$H87</f>
        <v>0</v>
      </c>
      <c r="BK87" s="77">
        <f>IF($F87&gt;HRS!$H$2,ROUNDUP(((($AN87+$BE87)*$BK$3)/12*9)+(($AN87+$BE87)*HRS!$B$10/12*3),0),0)*$H87</f>
        <v>13937</v>
      </c>
      <c r="BL87" s="80">
        <f t="shared" si="143"/>
        <v>911</v>
      </c>
      <c r="BM87" s="77">
        <f t="shared" si="144"/>
        <v>144</v>
      </c>
      <c r="BN87" s="77">
        <f t="shared" si="145"/>
        <v>1199</v>
      </c>
      <c r="BO87" s="77">
        <f t="shared" si="146"/>
        <v>149</v>
      </c>
      <c r="BP87" s="77">
        <f t="shared" si="147"/>
        <v>2000</v>
      </c>
      <c r="BQ87" s="77">
        <v>0</v>
      </c>
      <c r="BR87" s="80">
        <f t="shared" ref="BR87:BR113" si="155">SUM(AO87:AW87)+SUM(BC87:BQ87)</f>
        <v>110003</v>
      </c>
    </row>
    <row r="88" spans="1:70" outlineLevel="1" x14ac:dyDescent="0.35">
      <c r="A88" s="1" t="s">
        <v>6</v>
      </c>
      <c r="B88" s="1" t="s">
        <v>74</v>
      </c>
      <c r="C88" s="1" t="s">
        <v>8</v>
      </c>
      <c r="D88" s="1" t="s">
        <v>71</v>
      </c>
      <c r="E88" s="1" t="s">
        <v>89</v>
      </c>
      <c r="F88" s="2">
        <v>1</v>
      </c>
      <c r="G88" s="66">
        <v>1</v>
      </c>
      <c r="H88" s="66">
        <v>1</v>
      </c>
      <c r="I88" s="1" t="s">
        <v>611</v>
      </c>
      <c r="J88" s="1" t="s">
        <v>612</v>
      </c>
      <c r="K88" s="1" t="s">
        <v>108</v>
      </c>
      <c r="L88" s="76" t="str">
        <f>IF(M88="","N",STEP!$J$22)</f>
        <v>Y</v>
      </c>
      <c r="M88" s="1" t="s">
        <v>79</v>
      </c>
      <c r="N88" s="1" t="s">
        <v>80</v>
      </c>
      <c r="O88" s="1">
        <v>1</v>
      </c>
      <c r="P88" s="1">
        <v>2</v>
      </c>
      <c r="Q88" s="185">
        <v>20201223</v>
      </c>
      <c r="R88" s="196">
        <v>44188</v>
      </c>
      <c r="S88" s="197">
        <f t="shared" si="127"/>
        <v>21</v>
      </c>
      <c r="T88" s="66">
        <f t="shared" si="128"/>
        <v>2</v>
      </c>
      <c r="U88" s="65">
        <v>20211124</v>
      </c>
      <c r="V88" s="70">
        <v>30.937999999999999</v>
      </c>
      <c r="W88" s="74">
        <f t="shared" si="150"/>
        <v>1.2299999999999978E-2</v>
      </c>
      <c r="X88" s="70" cm="1">
        <f t="array" ref="X88">IF(U88="","",INDEX(STEP!$C:$C,MATCH('Position Control'!M88&amp;'Position Control'!P88,STEP!$A:$A&amp;STEP!$B:$B,0)))</f>
        <v>32.098199999999999</v>
      </c>
      <c r="Y88" s="74">
        <f t="shared" si="129"/>
        <v>0.98770000000000002</v>
      </c>
      <c r="Z88" s="1">
        <v>7720</v>
      </c>
      <c r="AA88" s="112">
        <f>VLOOKUP(Z88,'WRK COMP'!$A$1:$E$17,5,FALSE)</f>
        <v>1.1011E-2</v>
      </c>
      <c r="AB88" s="76" t="s">
        <v>13</v>
      </c>
      <c r="AC88" s="68">
        <v>0</v>
      </c>
      <c r="AD88" s="209">
        <v>57.69</v>
      </c>
      <c r="AE88" s="209">
        <v>0</v>
      </c>
      <c r="AF88" s="209">
        <v>0</v>
      </c>
      <c r="AG88" s="68">
        <v>0</v>
      </c>
      <c r="AH88" s="68">
        <v>0</v>
      </c>
      <c r="AI88" s="68">
        <v>0</v>
      </c>
      <c r="AJ88" s="10" t="s">
        <v>14</v>
      </c>
      <c r="AK88" s="10" t="s">
        <v>15</v>
      </c>
      <c r="AL88" s="10" t="s">
        <v>16</v>
      </c>
      <c r="AM88" s="78">
        <f>IF(F88&gt;0.79,IF(ROUNDUP(IF(B88="FS",(V88*HRS!$B$9),(V88*HRS!$L$2))*2,-3)&gt;150000,150000,(ROUNDUP(IF(B88="FS",(V88*HRS!$B$9),(V88*HRS!$L$2))*2,-3))),0)</f>
        <v>129000</v>
      </c>
      <c r="AN88" s="188">
        <f t="shared" si="154"/>
        <v>68235</v>
      </c>
      <c r="AO88" s="77">
        <f>IF(L88="N",IF(B88="FS",ROUNDUP($V88*HRS!$B$9*'Position Control'!F88,0),ROUNDUP('Position Control'!$V88*HRS!$L$2*'Position Control'!F88,0)),IF('Position Control'!B88="FS",ROUNDUP(('Position Control'!V88*HRS!$B$9*'Position Control'!W88*'Position Control'!F88)+('Position Control'!X88*HRS!$B$9*'Position Control'!Y88*'Position Control'!F88),0),ROUNDUP(('Position Control'!V88*HRS!$L$2*'Position Control'!W88*'Position Control'!F88)+('Position Control'!X88*HRS!$L$2*'Position Control'!Y88*'Position Control'!F88),0)))*'Position Control'!H88</f>
        <v>66735</v>
      </c>
      <c r="AP88" s="77">
        <f t="shared" si="131"/>
        <v>0</v>
      </c>
      <c r="AQ88" s="77">
        <f t="shared" si="132"/>
        <v>1500</v>
      </c>
      <c r="AR88" s="77">
        <f t="shared" si="133"/>
        <v>0</v>
      </c>
      <c r="AS88" s="77">
        <v>0</v>
      </c>
      <c r="AT88" s="79">
        <f t="shared" si="134"/>
        <v>0</v>
      </c>
      <c r="AU88" s="77">
        <f t="shared" si="135"/>
        <v>0</v>
      </c>
      <c r="AV88" s="77">
        <v>0</v>
      </c>
      <c r="AW88" s="77">
        <f t="shared" si="136"/>
        <v>0</v>
      </c>
      <c r="AX88" s="77">
        <f t="shared" si="137"/>
        <v>0</v>
      </c>
      <c r="AY88" s="77">
        <f t="shared" si="138"/>
        <v>0</v>
      </c>
      <c r="AZ88" s="77">
        <f t="shared" si="139"/>
        <v>0</v>
      </c>
      <c r="BA88" s="77">
        <f t="shared" si="140"/>
        <v>0</v>
      </c>
      <c r="BB88" s="77">
        <f t="shared" si="141"/>
        <v>0</v>
      </c>
      <c r="BC88" s="77">
        <f t="shared" si="152"/>
        <v>0</v>
      </c>
      <c r="BD88" s="77">
        <f t="shared" ref="BD88:BD120" si="156">IF($S88&gt;=12,IF(($S88*5)&gt;1200,1200,$S88*5),0)*$H88</f>
        <v>105</v>
      </c>
      <c r="BE88" s="77">
        <v>0</v>
      </c>
      <c r="BF88" s="77">
        <f t="shared" si="142"/>
        <v>154.80000000000001</v>
      </c>
      <c r="BG88" s="77">
        <f>VLOOKUP($AJ88,BENE!$I$2:$N$9,6,FALSE)*'Position Control'!$H88</f>
        <v>389</v>
      </c>
      <c r="BH88" s="77">
        <f>VLOOKUP($AK88,BENE!$A$2:$F$19,6,FALSE)*'Position Control'!$H88</f>
        <v>6142</v>
      </c>
      <c r="BI88" s="77">
        <f>VLOOKUP($AK88,BENE!$A$2:$G$19,7,FALSE)*'Position Control'!$H88</f>
        <v>1000</v>
      </c>
      <c r="BJ88" s="77">
        <f>VLOOKUP($AL88,BENE!$P$2:$S$6,4,FALSE)*'Position Control'!$H88</f>
        <v>240</v>
      </c>
      <c r="BK88" s="77">
        <f>IF($F88&gt;HRS!$H$2,ROUNDUP(((($AN88+$BE88)*$BK$3)/12*9)+(($AN88+$BE88)*HRS!$B$10/12*3),0),0)*$H88</f>
        <v>11505</v>
      </c>
      <c r="BL88" s="80">
        <f t="shared" si="143"/>
        <v>752</v>
      </c>
      <c r="BM88" s="77">
        <f t="shared" si="144"/>
        <v>144</v>
      </c>
      <c r="BN88" s="77">
        <f t="shared" si="145"/>
        <v>990</v>
      </c>
      <c r="BO88" s="77">
        <f t="shared" si="146"/>
        <v>123</v>
      </c>
      <c r="BP88" s="77">
        <f t="shared" si="147"/>
        <v>0</v>
      </c>
      <c r="BQ88" s="77">
        <v>0</v>
      </c>
      <c r="BR88" s="80">
        <f t="shared" si="155"/>
        <v>89779.8</v>
      </c>
    </row>
    <row r="89" spans="1:70" outlineLevel="1" x14ac:dyDescent="0.35">
      <c r="A89" s="1" t="s">
        <v>6</v>
      </c>
      <c r="B89" s="1" t="s">
        <v>74</v>
      </c>
      <c r="C89" s="1" t="s">
        <v>8</v>
      </c>
      <c r="D89" s="1" t="s">
        <v>71</v>
      </c>
      <c r="E89" s="1" t="s">
        <v>89</v>
      </c>
      <c r="F89" s="2">
        <v>1</v>
      </c>
      <c r="G89" s="66">
        <v>1</v>
      </c>
      <c r="H89" s="66">
        <v>1</v>
      </c>
      <c r="I89" s="1" t="s">
        <v>611</v>
      </c>
      <c r="J89" s="1" t="s">
        <v>612</v>
      </c>
      <c r="K89" s="1" t="s">
        <v>112</v>
      </c>
      <c r="L89" s="76" t="str">
        <f>IF(M89="","N",STEP!$J$22)</f>
        <v>Y</v>
      </c>
      <c r="M89" s="1" t="s">
        <v>79</v>
      </c>
      <c r="N89" s="1" t="s">
        <v>80</v>
      </c>
      <c r="O89" s="1">
        <v>6</v>
      </c>
      <c r="P89" s="1">
        <v>7</v>
      </c>
      <c r="Q89" s="185">
        <v>20211122</v>
      </c>
      <c r="R89" s="196">
        <v>44522</v>
      </c>
      <c r="S89" s="197">
        <f t="shared" si="127"/>
        <v>10</v>
      </c>
      <c r="T89" s="66">
        <f t="shared" si="128"/>
        <v>1</v>
      </c>
      <c r="U89" s="65">
        <v>20211127</v>
      </c>
      <c r="V89" s="70">
        <v>37.1905</v>
      </c>
      <c r="W89" s="74">
        <f t="shared" si="150"/>
        <v>1.2599999999999945E-2</v>
      </c>
      <c r="X89" s="70" cm="1">
        <f t="array" ref="X89">IF(U89="","",INDEX(STEP!$C:$C,MATCH('Position Control'!M89&amp;'Position Control'!P89,STEP!$A:$A&amp;STEP!$B:$B,0)))</f>
        <v>38.5852</v>
      </c>
      <c r="Y89" s="74">
        <f t="shared" si="129"/>
        <v>0.98740000000000006</v>
      </c>
      <c r="Z89" s="1">
        <v>7720</v>
      </c>
      <c r="AA89" s="112">
        <f>VLOOKUP(Z89,'WRK COMP'!$A$1:$E$17,5,FALSE)</f>
        <v>1.1011E-2</v>
      </c>
      <c r="AB89" s="76" t="s">
        <v>13</v>
      </c>
      <c r="AC89" s="68">
        <v>0</v>
      </c>
      <c r="AD89" s="209">
        <v>34.619999999999997</v>
      </c>
      <c r="AE89" s="209">
        <v>0</v>
      </c>
      <c r="AF89" s="209">
        <v>0</v>
      </c>
      <c r="AG89" s="68">
        <v>0</v>
      </c>
      <c r="AH89" s="68">
        <v>0</v>
      </c>
      <c r="AI89" s="68">
        <v>0</v>
      </c>
      <c r="AJ89" s="10" t="s">
        <v>18</v>
      </c>
      <c r="AK89" s="10" t="s">
        <v>78</v>
      </c>
      <c r="AL89" s="10" t="s">
        <v>49</v>
      </c>
      <c r="AM89" s="78">
        <f>IF(F89&gt;0.79,IF(ROUNDUP(IF(B89="FS",(V89*HRS!$B$9),(V89*HRS!$L$2))*2,-3)&gt;150000,150000,(ROUNDUP(IF(B89="FS",(V89*HRS!$B$9),(V89*HRS!$L$2))*2,-3))),0)</f>
        <v>150000</v>
      </c>
      <c r="AN89" s="188">
        <f t="shared" si="154"/>
        <v>81122</v>
      </c>
      <c r="AO89" s="77">
        <f>IF(L89="N",IF(B89="FS",ROUNDUP($V89*HRS!$B$9*'Position Control'!F89,0),ROUNDUP('Position Control'!$V89*HRS!$L$2*'Position Control'!F89,0)),IF('Position Control'!B89="FS",ROUNDUP(('Position Control'!V89*HRS!$B$9*'Position Control'!W89*'Position Control'!F89)+('Position Control'!X89*HRS!$B$9*'Position Control'!Y89*'Position Control'!F89),0),ROUNDUP(('Position Control'!V89*HRS!$L$2*'Position Control'!W89*'Position Control'!F89)+('Position Control'!X89*HRS!$L$2*'Position Control'!Y89*'Position Control'!F89),0)))*'Position Control'!H89</f>
        <v>80221</v>
      </c>
      <c r="AP89" s="77">
        <f t="shared" si="131"/>
        <v>0</v>
      </c>
      <c r="AQ89" s="77">
        <f t="shared" si="132"/>
        <v>901</v>
      </c>
      <c r="AR89" s="77">
        <f t="shared" si="133"/>
        <v>0</v>
      </c>
      <c r="AS89" s="77">
        <v>0</v>
      </c>
      <c r="AT89" s="79">
        <f t="shared" si="134"/>
        <v>0</v>
      </c>
      <c r="AU89" s="77">
        <f t="shared" si="135"/>
        <v>0</v>
      </c>
      <c r="AV89" s="77">
        <v>0</v>
      </c>
      <c r="AW89" s="77">
        <f t="shared" si="136"/>
        <v>0</v>
      </c>
      <c r="AX89" s="77">
        <f t="shared" si="137"/>
        <v>0</v>
      </c>
      <c r="AY89" s="77">
        <f t="shared" si="138"/>
        <v>0</v>
      </c>
      <c r="AZ89" s="77">
        <f t="shared" si="139"/>
        <v>0</v>
      </c>
      <c r="BA89" s="77">
        <f t="shared" si="140"/>
        <v>0</v>
      </c>
      <c r="BB89" s="77">
        <f t="shared" si="141"/>
        <v>0</v>
      </c>
      <c r="BC89" s="77">
        <f t="shared" si="152"/>
        <v>0</v>
      </c>
      <c r="BD89" s="77">
        <f t="shared" si="156"/>
        <v>0</v>
      </c>
      <c r="BE89" s="77">
        <v>0</v>
      </c>
      <c r="BF89" s="77">
        <f t="shared" si="142"/>
        <v>180</v>
      </c>
      <c r="BG89" s="77">
        <f>VLOOKUP($AJ89,BENE!$I$2:$N$9,6,FALSE)*'Position Control'!$H89</f>
        <v>760</v>
      </c>
      <c r="BH89" s="77">
        <f>VLOOKUP($AK89,BENE!$A$2:$F$19,6,FALSE)*'Position Control'!$H89</f>
        <v>18024</v>
      </c>
      <c r="BI89" s="77">
        <f>VLOOKUP($AK89,BENE!$A$2:$G$19,7,FALSE)*'Position Control'!$H89</f>
        <v>0</v>
      </c>
      <c r="BJ89" s="77">
        <f>VLOOKUP($AL89,BENE!$P$2:$S$6,4,FALSE)*'Position Control'!$H89</f>
        <v>0</v>
      </c>
      <c r="BK89" s="77">
        <f>IF($F89&gt;HRS!$H$2,ROUNDUP(((($AN89+$BE89)*$BK$3)/12*9)+(($AN89+$BE89)*HRS!$B$10/12*3),0),0)*$H89</f>
        <v>13678</v>
      </c>
      <c r="BL89" s="80">
        <f t="shared" si="143"/>
        <v>894</v>
      </c>
      <c r="BM89" s="77">
        <f t="shared" si="144"/>
        <v>144</v>
      </c>
      <c r="BN89" s="77">
        <f t="shared" si="145"/>
        <v>1177</v>
      </c>
      <c r="BO89" s="77">
        <f t="shared" si="146"/>
        <v>146</v>
      </c>
      <c r="BP89" s="77">
        <f t="shared" si="147"/>
        <v>0</v>
      </c>
      <c r="BQ89" s="77">
        <v>0</v>
      </c>
      <c r="BR89" s="80">
        <f t="shared" si="155"/>
        <v>116125</v>
      </c>
    </row>
    <row r="90" spans="1:70" outlineLevel="1" x14ac:dyDescent="0.35">
      <c r="A90" s="1" t="s">
        <v>6</v>
      </c>
      <c r="B90" s="1" t="s">
        <v>74</v>
      </c>
      <c r="C90" s="1" t="s">
        <v>8</v>
      </c>
      <c r="D90" s="1" t="s">
        <v>71</v>
      </c>
      <c r="E90" s="1" t="s">
        <v>89</v>
      </c>
      <c r="F90" s="2">
        <v>1</v>
      </c>
      <c r="G90" s="66">
        <v>1</v>
      </c>
      <c r="H90" s="66">
        <v>1</v>
      </c>
      <c r="I90" s="1" t="s">
        <v>611</v>
      </c>
      <c r="J90" s="1" t="s">
        <v>612</v>
      </c>
      <c r="K90" s="1" t="s">
        <v>110</v>
      </c>
      <c r="L90" s="76" t="str">
        <f>IF(M90="","N",STEP!$J$22)</f>
        <v>Y</v>
      </c>
      <c r="M90" s="1" t="s">
        <v>79</v>
      </c>
      <c r="N90" s="1" t="s">
        <v>80</v>
      </c>
      <c r="O90" s="1">
        <v>5</v>
      </c>
      <c r="P90" s="1">
        <v>6</v>
      </c>
      <c r="Q90" s="185">
        <v>20170816</v>
      </c>
      <c r="R90" s="196">
        <v>42963</v>
      </c>
      <c r="S90" s="197">
        <f t="shared" si="127"/>
        <v>61</v>
      </c>
      <c r="T90" s="66">
        <f t="shared" si="128"/>
        <v>6</v>
      </c>
      <c r="U90" s="65">
        <v>20220530</v>
      </c>
      <c r="V90" s="70">
        <v>35.846299999999999</v>
      </c>
      <c r="W90" s="74">
        <f>IF(U90="","",(1-Y90))</f>
        <v>0.95289999999999997</v>
      </c>
      <c r="X90" s="70" cm="1">
        <f t="array" ref="X90">IF(U90="","",INDEX(STEP!$C:$C,MATCH('Position Control'!M90&amp;'Position Control'!P90,STEP!$A:$A&amp;STEP!$B:$B,0)))</f>
        <v>37.1905</v>
      </c>
      <c r="Y90" s="74">
        <f t="shared" si="129"/>
        <v>4.7100000000000003E-2</v>
      </c>
      <c r="Z90" s="1">
        <v>7720</v>
      </c>
      <c r="AA90" s="112">
        <f>VLOOKUP(Z90,'WRK COMP'!$A$1:$E$17,5,FALSE)</f>
        <v>1.1011E-2</v>
      </c>
      <c r="AB90" s="76" t="s">
        <v>13</v>
      </c>
      <c r="AC90" s="68">
        <v>0</v>
      </c>
      <c r="AD90" s="68">
        <v>69.22999999999999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9" t="s">
        <v>49</v>
      </c>
      <c r="AK90" s="10" t="s">
        <v>49</v>
      </c>
      <c r="AL90" s="1" t="s">
        <v>16</v>
      </c>
      <c r="AM90" s="78">
        <f>IF(F90&gt;0.79,IF(ROUNDUP(IF(B90="FS",(V90*HRS!$B$9),(V90*HRS!$L$2))*2,-3)&gt;150000,150000,(ROUNDUP(IF(B90="FS",(V90*HRS!$B$9),(V90*HRS!$L$2))*2,-3))),0)</f>
        <v>150000</v>
      </c>
      <c r="AN90" s="188">
        <f t="shared" si="154"/>
        <v>76492</v>
      </c>
      <c r="AO90" s="77">
        <f>IF(L90="N",IF(B90="FS",ROUNDUP($V90*HRS!$B$9*'Position Control'!F90,0),ROUNDUP('Position Control'!$V90*HRS!$L$2*'Position Control'!F90,0)),IF('Position Control'!B90="FS",ROUNDUP(('Position Control'!V90*HRS!$B$9*'Position Control'!W90*'Position Control'!F90)+('Position Control'!X90*HRS!$B$9*'Position Control'!Y90*'Position Control'!F90),0),ROUNDUP(('Position Control'!V90*HRS!$L$2*'Position Control'!W90*'Position Control'!F90)+('Position Control'!X90*HRS!$L$2*'Position Control'!Y90*'Position Control'!F90),0)))*'Position Control'!H90</f>
        <v>74692</v>
      </c>
      <c r="AP90" s="77">
        <f t="shared" si="131"/>
        <v>0</v>
      </c>
      <c r="AQ90" s="77">
        <f t="shared" si="132"/>
        <v>1800</v>
      </c>
      <c r="AR90" s="77">
        <f t="shared" si="133"/>
        <v>0</v>
      </c>
      <c r="AS90" s="77">
        <v>0</v>
      </c>
      <c r="AT90" s="79">
        <f t="shared" si="134"/>
        <v>0</v>
      </c>
      <c r="AU90" s="77">
        <f t="shared" si="135"/>
        <v>0</v>
      </c>
      <c r="AV90" s="77">
        <v>0</v>
      </c>
      <c r="AW90" s="77">
        <f t="shared" si="136"/>
        <v>0</v>
      </c>
      <c r="AX90" s="77">
        <f t="shared" si="137"/>
        <v>0</v>
      </c>
      <c r="AY90" s="77">
        <f t="shared" si="138"/>
        <v>0</v>
      </c>
      <c r="AZ90" s="77">
        <f t="shared" si="139"/>
        <v>0</v>
      </c>
      <c r="BA90" s="77">
        <f t="shared" si="140"/>
        <v>0</v>
      </c>
      <c r="BB90" s="77">
        <f t="shared" si="141"/>
        <v>0</v>
      </c>
      <c r="BC90" s="77">
        <f>SUM(AX90:BB90)</f>
        <v>0</v>
      </c>
      <c r="BD90" s="77">
        <f t="shared" si="156"/>
        <v>305</v>
      </c>
      <c r="BE90" s="77">
        <v>0</v>
      </c>
      <c r="BF90" s="77">
        <f t="shared" si="142"/>
        <v>180</v>
      </c>
      <c r="BG90" s="77">
        <f>VLOOKUP($AJ90,BENE!$I$2:$N$9,6,FALSE)*'Position Control'!$H90</f>
        <v>0</v>
      </c>
      <c r="BH90" s="77">
        <f>VLOOKUP($AK90,BENE!$A$2:$F$19,6,FALSE)*'Position Control'!$H90</f>
        <v>0</v>
      </c>
      <c r="BI90" s="77">
        <f>VLOOKUP($AK90,BENE!$A$2:$G$19,7,FALSE)*'Position Control'!$H90</f>
        <v>0</v>
      </c>
      <c r="BJ90" s="77">
        <f>VLOOKUP($AL90,BENE!$P$2:$S$6,4,FALSE)*'Position Control'!$H90</f>
        <v>240</v>
      </c>
      <c r="BK90" s="77">
        <f>IF($F90&gt;HRS!$H$2,ROUNDUP(((($AN90+$BE90)*$BK$3)/12*9)+(($AN90+$BE90)*HRS!$B$10/12*3),0),0)*$H90</f>
        <v>12897</v>
      </c>
      <c r="BL90" s="80">
        <f t="shared" si="143"/>
        <v>843</v>
      </c>
      <c r="BM90" s="77">
        <f t="shared" si="144"/>
        <v>144</v>
      </c>
      <c r="BN90" s="77">
        <f t="shared" si="145"/>
        <v>1110</v>
      </c>
      <c r="BO90" s="77">
        <f t="shared" si="146"/>
        <v>138</v>
      </c>
      <c r="BP90" s="77">
        <f t="shared" si="147"/>
        <v>0</v>
      </c>
      <c r="BQ90" s="77">
        <v>0</v>
      </c>
      <c r="BR90" s="80">
        <f t="shared" si="155"/>
        <v>92349</v>
      </c>
    </row>
    <row r="91" spans="1:70" outlineLevel="1" x14ac:dyDescent="0.35">
      <c r="A91" s="1" t="s">
        <v>6</v>
      </c>
      <c r="B91" s="1" t="s">
        <v>74</v>
      </c>
      <c r="C91" s="1" t="s">
        <v>8</v>
      </c>
      <c r="D91" s="1" t="s">
        <v>71</v>
      </c>
      <c r="E91" s="1" t="s">
        <v>89</v>
      </c>
      <c r="F91" s="2">
        <v>1</v>
      </c>
      <c r="G91" s="66">
        <v>1</v>
      </c>
      <c r="H91" s="66">
        <v>1</v>
      </c>
      <c r="I91" s="1" t="s">
        <v>411</v>
      </c>
      <c r="J91" s="1" t="s">
        <v>408</v>
      </c>
      <c r="K91" s="1" t="s">
        <v>133</v>
      </c>
      <c r="L91" s="76" t="str">
        <f>IF(M91="","N",STEP!$J$22)</f>
        <v>Y</v>
      </c>
      <c r="M91" s="1" t="s">
        <v>79</v>
      </c>
      <c r="N91" s="1" t="s">
        <v>80</v>
      </c>
      <c r="O91" s="1">
        <v>1</v>
      </c>
      <c r="P91" s="1">
        <v>1</v>
      </c>
      <c r="Q91" s="185">
        <v>20221002</v>
      </c>
      <c r="R91" s="196">
        <v>44836</v>
      </c>
      <c r="S91" s="197">
        <f t="shared" si="127"/>
        <v>0</v>
      </c>
      <c r="T91" s="66">
        <f t="shared" si="128"/>
        <v>0</v>
      </c>
      <c r="U91" s="65">
        <v>20220601</v>
      </c>
      <c r="V91" s="70">
        <v>30.937999999999999</v>
      </c>
      <c r="W91" s="74">
        <f>IF(U91="","",(1-Y91))</f>
        <v>0.96</v>
      </c>
      <c r="X91" s="70" cm="1">
        <f t="array" ref="X91">IF(U91="","",INDEX(STEP!$C:$C,MATCH('Position Control'!M91&amp;'Position Control'!P91,STEP!$A:$A&amp;STEP!$B:$B,0)))</f>
        <v>30.937999999999999</v>
      </c>
      <c r="Y91" s="74">
        <f t="shared" si="129"/>
        <v>0.04</v>
      </c>
      <c r="Z91" s="1">
        <v>7720</v>
      </c>
      <c r="AA91" s="112">
        <f>VLOOKUP(Z91,'WRK COMP'!$A$1:$E$17,5,FALSE)</f>
        <v>1.1011E-2</v>
      </c>
      <c r="AB91" s="76" t="s">
        <v>13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1" t="s">
        <v>14</v>
      </c>
      <c r="AK91" s="1" t="s">
        <v>15</v>
      </c>
      <c r="AL91" s="1" t="s">
        <v>16</v>
      </c>
      <c r="AM91" s="78">
        <f>IF(F91&gt;0.79,IF(ROUNDUP(IF(B91="FS",(V91*HRS!$B$9),(V91*HRS!$L$2))*2,-3)&gt;150000,150000,(ROUNDUP(IF(B91="FS",(V91*HRS!$B$9),(V91*HRS!$L$2))*2,-3))),0)</f>
        <v>129000</v>
      </c>
      <c r="AN91" s="188">
        <f t="shared" si="154"/>
        <v>64352</v>
      </c>
      <c r="AO91" s="77">
        <f>IF(L91="N",IF(B91="FS",ROUNDUP($V91*HRS!$B$9*'Position Control'!F91,0),ROUNDUP('Position Control'!$V91*HRS!$L$2*'Position Control'!F91,0)),IF('Position Control'!B91="FS",ROUNDUP(('Position Control'!V91*HRS!$B$9*'Position Control'!W91*'Position Control'!F91)+('Position Control'!X91*HRS!$B$9*'Position Control'!Y91*'Position Control'!F91),0),ROUNDUP(('Position Control'!V91*HRS!$L$2*'Position Control'!W91*'Position Control'!F91)+('Position Control'!X91*HRS!$L$2*'Position Control'!Y91*'Position Control'!F91),0)))*'Position Control'!H91</f>
        <v>64352</v>
      </c>
      <c r="AP91" s="77">
        <f t="shared" si="131"/>
        <v>0</v>
      </c>
      <c r="AQ91" s="77">
        <f t="shared" si="132"/>
        <v>0</v>
      </c>
      <c r="AR91" s="77">
        <f t="shared" si="133"/>
        <v>0</v>
      </c>
      <c r="AS91" s="77">
        <v>0</v>
      </c>
      <c r="AT91" s="79">
        <f t="shared" si="134"/>
        <v>0</v>
      </c>
      <c r="AU91" s="77">
        <f t="shared" si="135"/>
        <v>0</v>
      </c>
      <c r="AV91" s="77">
        <v>0</v>
      </c>
      <c r="AW91" s="77">
        <f t="shared" si="136"/>
        <v>0</v>
      </c>
      <c r="AX91" s="77">
        <f t="shared" si="137"/>
        <v>0</v>
      </c>
      <c r="AY91" s="77">
        <f t="shared" si="138"/>
        <v>0</v>
      </c>
      <c r="AZ91" s="77">
        <f t="shared" si="139"/>
        <v>0</v>
      </c>
      <c r="BA91" s="77">
        <f t="shared" si="140"/>
        <v>0</v>
      </c>
      <c r="BB91" s="77">
        <f t="shared" si="141"/>
        <v>0</v>
      </c>
      <c r="BC91" s="77">
        <f>SUM(AX91:BB91)</f>
        <v>0</v>
      </c>
      <c r="BD91" s="77">
        <f t="shared" si="156"/>
        <v>0</v>
      </c>
      <c r="BE91" s="77">
        <v>0</v>
      </c>
      <c r="BF91" s="77">
        <f t="shared" si="142"/>
        <v>154.80000000000001</v>
      </c>
      <c r="BG91" s="77">
        <f>VLOOKUP($AJ91,BENE!$I$2:$N$9,6,FALSE)*'Position Control'!$H91</f>
        <v>389</v>
      </c>
      <c r="BH91" s="77">
        <f>VLOOKUP($AK91,BENE!$A$2:$F$19,6,FALSE)*'Position Control'!$H91</f>
        <v>6142</v>
      </c>
      <c r="BI91" s="77">
        <f>VLOOKUP($AK91,BENE!$A$2:$G$19,7,FALSE)*'Position Control'!$H91</f>
        <v>1000</v>
      </c>
      <c r="BJ91" s="77">
        <f>VLOOKUP($AL91,BENE!$P$2:$S$6,4,FALSE)*'Position Control'!$H91</f>
        <v>240</v>
      </c>
      <c r="BK91" s="77">
        <f>IF($F91&gt;HRS!$H$2,ROUNDUP(((($AN91+$BE91)*$BK$3)/12*9)+(($AN91+$BE91)*HRS!$B$10/12*3),0),0)*$H91</f>
        <v>10850</v>
      </c>
      <c r="BL91" s="80">
        <f t="shared" si="143"/>
        <v>709</v>
      </c>
      <c r="BM91" s="77">
        <f t="shared" si="144"/>
        <v>144</v>
      </c>
      <c r="BN91" s="77">
        <f t="shared" si="145"/>
        <v>934</v>
      </c>
      <c r="BO91" s="77">
        <f t="shared" si="146"/>
        <v>116</v>
      </c>
      <c r="BP91" s="77">
        <f t="shared" si="147"/>
        <v>0</v>
      </c>
      <c r="BQ91" s="77">
        <v>0</v>
      </c>
      <c r="BR91" s="80">
        <f t="shared" si="155"/>
        <v>85030.8</v>
      </c>
    </row>
    <row r="92" spans="1:70" outlineLevel="1" x14ac:dyDescent="0.35">
      <c r="A92" s="1" t="s">
        <v>6</v>
      </c>
      <c r="B92" s="1" t="s">
        <v>74</v>
      </c>
      <c r="C92" s="1" t="s">
        <v>8</v>
      </c>
      <c r="D92" s="1" t="s">
        <v>71</v>
      </c>
      <c r="E92" s="1" t="s">
        <v>89</v>
      </c>
      <c r="F92" s="2">
        <v>1</v>
      </c>
      <c r="G92" s="66">
        <v>1</v>
      </c>
      <c r="H92" s="66">
        <v>1</v>
      </c>
      <c r="I92" s="10" t="s">
        <v>411</v>
      </c>
      <c r="J92" s="10" t="s">
        <v>408</v>
      </c>
      <c r="K92" s="1" t="s">
        <v>121</v>
      </c>
      <c r="L92" s="76" t="str">
        <f>IF(M92="","N",STEP!$J$22)</f>
        <v>N</v>
      </c>
      <c r="M92" s="194"/>
      <c r="N92" s="1"/>
      <c r="O92" s="1">
        <v>1</v>
      </c>
      <c r="P92" s="1">
        <v>1</v>
      </c>
      <c r="Q92" s="185">
        <v>20200610</v>
      </c>
      <c r="R92" s="196">
        <v>44836</v>
      </c>
      <c r="S92" s="197">
        <f t="shared" si="127"/>
        <v>0</v>
      </c>
      <c r="T92" s="66">
        <f t="shared" si="128"/>
        <v>0</v>
      </c>
      <c r="U92" s="65"/>
      <c r="V92" s="70">
        <v>28.001000000000001</v>
      </c>
      <c r="W92" s="74" t="str">
        <f t="shared" si="150"/>
        <v/>
      </c>
      <c r="X92" s="70" t="str" cm="1">
        <f t="array" ref="X92">IF(U92="","",INDEX(STEP!$C:$C,MATCH('Position Control'!M92&amp;'Position Control'!P92,STEP!$A:$A&amp;STEP!$B:$B,0)))</f>
        <v/>
      </c>
      <c r="Y92" s="74" t="str">
        <f t="shared" si="129"/>
        <v/>
      </c>
      <c r="Z92" s="1">
        <v>7720</v>
      </c>
      <c r="AA92" s="112">
        <f>VLOOKUP(Z92,'WRK COMP'!$A$1:$E$17,5,FALSE)</f>
        <v>1.1011E-2</v>
      </c>
      <c r="AB92" s="76" t="s">
        <v>13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1" t="s">
        <v>14</v>
      </c>
      <c r="AK92" s="1" t="s">
        <v>15</v>
      </c>
      <c r="AL92" s="1" t="s">
        <v>16</v>
      </c>
      <c r="AM92" s="78">
        <f>IF(F92&gt;0.79,IF(ROUNDUP(IF(B92="FS",(V92*HRS!$B$9),(V92*HRS!$L$2))*2,-3)&gt;150000,150000,(ROUNDUP(IF(B92="FS",(V92*HRS!$B$9),(V92*HRS!$L$2))*2,-3))),0)</f>
        <v>117000</v>
      </c>
      <c r="AN92" s="188">
        <f t="shared" si="154"/>
        <v>58243</v>
      </c>
      <c r="AO92" s="77">
        <f>IF(L92="N",IF(B92="FS",ROUNDUP($V92*HRS!$B$9*'Position Control'!F92,0),ROUNDUP('Position Control'!$V92*HRS!$L$2*'Position Control'!F92,0)),IF('Position Control'!B92="FS",ROUNDUP(('Position Control'!V92*HRS!$B$9*'Position Control'!W92*'Position Control'!F92)+('Position Control'!X92*HRS!$B$9*'Position Control'!Y92*'Position Control'!F92),0),ROUNDUP(('Position Control'!V92*HRS!$L$2*'Position Control'!W92*'Position Control'!F92)+('Position Control'!X92*HRS!$L$2*'Position Control'!Y92*'Position Control'!F92),0)))*'Position Control'!H92</f>
        <v>58243</v>
      </c>
      <c r="AP92" s="77">
        <f t="shared" si="131"/>
        <v>0</v>
      </c>
      <c r="AQ92" s="77">
        <f t="shared" si="132"/>
        <v>0</v>
      </c>
      <c r="AR92" s="77">
        <f t="shared" si="133"/>
        <v>0</v>
      </c>
      <c r="AS92" s="77">
        <v>0</v>
      </c>
      <c r="AT92" s="79">
        <f t="shared" si="134"/>
        <v>0</v>
      </c>
      <c r="AU92" s="77">
        <f t="shared" si="135"/>
        <v>0</v>
      </c>
      <c r="AV92" s="77">
        <v>0</v>
      </c>
      <c r="AW92" s="77">
        <f t="shared" si="136"/>
        <v>0</v>
      </c>
      <c r="AX92" s="77">
        <f t="shared" si="137"/>
        <v>0</v>
      </c>
      <c r="AY92" s="77">
        <f t="shared" si="138"/>
        <v>0</v>
      </c>
      <c r="AZ92" s="77">
        <f t="shared" si="139"/>
        <v>0</v>
      </c>
      <c r="BA92" s="77">
        <f t="shared" si="140"/>
        <v>0</v>
      </c>
      <c r="BB92" s="77">
        <f t="shared" si="141"/>
        <v>0</v>
      </c>
      <c r="BC92" s="77">
        <f t="shared" si="152"/>
        <v>0</v>
      </c>
      <c r="BD92" s="77">
        <f t="shared" si="156"/>
        <v>0</v>
      </c>
      <c r="BE92" s="77">
        <v>0</v>
      </c>
      <c r="BF92" s="77">
        <f t="shared" si="142"/>
        <v>140.4</v>
      </c>
      <c r="BG92" s="77">
        <f>VLOOKUP($AJ92,BENE!$I$2:$N$9,6,FALSE)*'Position Control'!$H92</f>
        <v>389</v>
      </c>
      <c r="BH92" s="77">
        <f>VLOOKUP($AK92,BENE!$A$2:$F$19,6,FALSE)*'Position Control'!$H92</f>
        <v>6142</v>
      </c>
      <c r="BI92" s="77">
        <f>VLOOKUP($AK92,BENE!$A$2:$G$19,7,FALSE)*'Position Control'!$H92</f>
        <v>1000</v>
      </c>
      <c r="BJ92" s="77">
        <f>VLOOKUP($AL92,BENE!$P$2:$S$6,4,FALSE)*'Position Control'!$H92</f>
        <v>240</v>
      </c>
      <c r="BK92" s="77">
        <f>IF($F92&gt;HRS!$H$2,ROUNDUP(((($AN92+$BE92)*$BK$3)/12*9)+(($AN92+$BE92)*HRS!$B$10/12*3),0),0)*$H92</f>
        <v>9820</v>
      </c>
      <c r="BL92" s="80">
        <f t="shared" si="143"/>
        <v>642</v>
      </c>
      <c r="BM92" s="77">
        <f t="shared" si="144"/>
        <v>144</v>
      </c>
      <c r="BN92" s="77">
        <f t="shared" si="145"/>
        <v>845</v>
      </c>
      <c r="BO92" s="77">
        <f t="shared" si="146"/>
        <v>105</v>
      </c>
      <c r="BP92" s="77">
        <f t="shared" si="147"/>
        <v>0</v>
      </c>
      <c r="BQ92" s="77">
        <v>0</v>
      </c>
      <c r="BR92" s="80">
        <f t="shared" si="155"/>
        <v>77710.399999999994</v>
      </c>
    </row>
    <row r="93" spans="1:70" outlineLevel="1" x14ac:dyDescent="0.35">
      <c r="A93" s="1" t="s">
        <v>6</v>
      </c>
      <c r="B93" s="1" t="s">
        <v>74</v>
      </c>
      <c r="C93" s="1" t="s">
        <v>8</v>
      </c>
      <c r="D93" s="1" t="s">
        <v>71</v>
      </c>
      <c r="E93" s="1" t="s">
        <v>89</v>
      </c>
      <c r="F93" s="2">
        <v>1</v>
      </c>
      <c r="G93" s="66">
        <v>1</v>
      </c>
      <c r="H93" s="66">
        <v>1</v>
      </c>
      <c r="I93" s="1" t="s">
        <v>611</v>
      </c>
      <c r="J93" s="1" t="s">
        <v>612</v>
      </c>
      <c r="K93" s="1" t="s">
        <v>117</v>
      </c>
      <c r="L93" s="76" t="str">
        <f>IF(M93="","N",STEP!$J$22)</f>
        <v>Y</v>
      </c>
      <c r="M93" s="194" t="s">
        <v>79</v>
      </c>
      <c r="N93" s="1" t="s">
        <v>80</v>
      </c>
      <c r="O93" s="1">
        <v>1</v>
      </c>
      <c r="P93" s="1">
        <v>2</v>
      </c>
      <c r="Q93" s="185">
        <v>20151230</v>
      </c>
      <c r="R93" s="196">
        <v>42368</v>
      </c>
      <c r="S93" s="197">
        <f t="shared" si="127"/>
        <v>81</v>
      </c>
      <c r="T93" s="66">
        <f t="shared" si="128"/>
        <v>7</v>
      </c>
      <c r="U93" s="65">
        <v>20220722</v>
      </c>
      <c r="V93" s="70">
        <v>30.937999999999999</v>
      </c>
      <c r="W93" s="74">
        <f t="shared" si="150"/>
        <v>0.97209999999999996</v>
      </c>
      <c r="X93" s="70" cm="1">
        <f t="array" ref="X93">IF(U93="","",INDEX(STEP!$C:$C,MATCH('Position Control'!M93&amp;'Position Control'!P93,STEP!$A:$A&amp;STEP!$B:$B,0)))</f>
        <v>32.098199999999999</v>
      </c>
      <c r="Y93" s="74">
        <f t="shared" si="129"/>
        <v>2.7900000000000001E-2</v>
      </c>
      <c r="Z93" s="1">
        <v>7720</v>
      </c>
      <c r="AA93" s="112">
        <f>VLOOKUP(Z93,'WRK COMP'!$A$1:$E$17,5,FALSE)</f>
        <v>1.1011E-2</v>
      </c>
      <c r="AB93" s="76" t="s">
        <v>13</v>
      </c>
      <c r="AC93" s="68">
        <v>0</v>
      </c>
      <c r="AD93" s="68">
        <v>46.15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1" t="s">
        <v>14</v>
      </c>
      <c r="AK93" s="1" t="s">
        <v>32</v>
      </c>
      <c r="AL93" s="1" t="s">
        <v>16</v>
      </c>
      <c r="AM93" s="78">
        <f>IF(F93&gt;0.79,IF(ROUNDUP(IF(B93="FS",(V93*HRS!$B$9),(V93*HRS!$L$2))*2,-3)&gt;150000,150000,(ROUNDUP(IF(B93="FS",(V93*HRS!$B$9),(V93*HRS!$L$2))*2,-3))),0)</f>
        <v>129000</v>
      </c>
      <c r="AN93" s="188">
        <f t="shared" si="154"/>
        <v>65619</v>
      </c>
      <c r="AO93" s="77">
        <f>IF(L93="N",IF(B93="FS",ROUNDUP($V93*HRS!$B$9*'Position Control'!F93,0),ROUNDUP('Position Control'!$V93*HRS!$L$2*'Position Control'!F93,0)),IF('Position Control'!B93="FS",ROUNDUP(('Position Control'!V93*HRS!$B$9*'Position Control'!W93*'Position Control'!F93)+('Position Control'!X93*HRS!$B$9*'Position Control'!Y93*'Position Control'!F93),0),ROUNDUP(('Position Control'!V93*HRS!$L$2*'Position Control'!W93*'Position Control'!F93)+('Position Control'!X93*HRS!$L$2*'Position Control'!Y93*'Position Control'!F93),0)))*'Position Control'!H93</f>
        <v>64419</v>
      </c>
      <c r="AP93" s="77">
        <f t="shared" si="131"/>
        <v>0</v>
      </c>
      <c r="AQ93" s="77">
        <f t="shared" si="132"/>
        <v>1200</v>
      </c>
      <c r="AR93" s="77">
        <f t="shared" si="133"/>
        <v>0</v>
      </c>
      <c r="AS93" s="77">
        <v>0</v>
      </c>
      <c r="AT93" s="79">
        <f t="shared" si="134"/>
        <v>0</v>
      </c>
      <c r="AU93" s="77">
        <f t="shared" si="135"/>
        <v>0</v>
      </c>
      <c r="AV93" s="77">
        <v>0</v>
      </c>
      <c r="AW93" s="77">
        <f t="shared" si="136"/>
        <v>0</v>
      </c>
      <c r="AX93" s="77">
        <f t="shared" si="137"/>
        <v>0</v>
      </c>
      <c r="AY93" s="77">
        <f t="shared" si="138"/>
        <v>0</v>
      </c>
      <c r="AZ93" s="77">
        <f t="shared" si="139"/>
        <v>0</v>
      </c>
      <c r="BA93" s="77">
        <f t="shared" si="140"/>
        <v>0</v>
      </c>
      <c r="BB93" s="77">
        <f t="shared" si="141"/>
        <v>0</v>
      </c>
      <c r="BC93" s="77">
        <f t="shared" si="152"/>
        <v>0</v>
      </c>
      <c r="BD93" s="77">
        <f t="shared" si="156"/>
        <v>405</v>
      </c>
      <c r="BE93" s="77">
        <v>0</v>
      </c>
      <c r="BF93" s="77">
        <f t="shared" si="142"/>
        <v>154.80000000000001</v>
      </c>
      <c r="BG93" s="77">
        <f>VLOOKUP($AJ93,BENE!$I$2:$N$9,6,FALSE)*'Position Control'!$H93</f>
        <v>389</v>
      </c>
      <c r="BH93" s="77">
        <f>VLOOKUP($AK93,BENE!$A$2:$F$19,6,FALSE)*'Position Control'!$H93</f>
        <v>6273</v>
      </c>
      <c r="BI93" s="77">
        <f>VLOOKUP($AK93,BENE!$A$2:$G$19,7,FALSE)*'Position Control'!$H93</f>
        <v>1000</v>
      </c>
      <c r="BJ93" s="77">
        <f>VLOOKUP($AL93,BENE!$P$2:$S$6,4,FALSE)*'Position Control'!$H93</f>
        <v>240</v>
      </c>
      <c r="BK93" s="77">
        <f>IF($F93&gt;HRS!$H$2,ROUNDUP(((($AN93+$BE93)*$BK$3)/12*9)+(($AN93+$BE93)*HRS!$B$10/12*3),0),0)*$H93</f>
        <v>11064</v>
      </c>
      <c r="BL93" s="80">
        <f t="shared" si="143"/>
        <v>723</v>
      </c>
      <c r="BM93" s="77">
        <f t="shared" si="144"/>
        <v>144</v>
      </c>
      <c r="BN93" s="77">
        <f t="shared" si="145"/>
        <v>952</v>
      </c>
      <c r="BO93" s="77">
        <f t="shared" si="146"/>
        <v>118</v>
      </c>
      <c r="BP93" s="77">
        <f t="shared" si="147"/>
        <v>0</v>
      </c>
      <c r="BQ93" s="77">
        <v>0</v>
      </c>
      <c r="BR93" s="80">
        <f t="shared" si="155"/>
        <v>87081.8</v>
      </c>
    </row>
    <row r="94" spans="1:70" outlineLevel="1" x14ac:dyDescent="0.35">
      <c r="A94" s="1" t="s">
        <v>6</v>
      </c>
      <c r="B94" s="1" t="s">
        <v>74</v>
      </c>
      <c r="C94" s="1" t="s">
        <v>8</v>
      </c>
      <c r="D94" s="1" t="s">
        <v>71</v>
      </c>
      <c r="E94" s="1" t="s">
        <v>89</v>
      </c>
      <c r="F94" s="2">
        <v>1</v>
      </c>
      <c r="G94" s="66">
        <v>1</v>
      </c>
      <c r="H94" s="66">
        <v>1</v>
      </c>
      <c r="I94" s="1" t="s">
        <v>611</v>
      </c>
      <c r="J94" s="1" t="s">
        <v>612</v>
      </c>
      <c r="K94" s="1" t="s">
        <v>109</v>
      </c>
      <c r="L94" s="76" t="str">
        <f>IF(M94="","N",STEP!$J$22)</f>
        <v>N</v>
      </c>
      <c r="M94" s="1"/>
      <c r="N94" s="1"/>
      <c r="O94" s="1"/>
      <c r="P94" s="1"/>
      <c r="Q94" s="185">
        <v>20220214</v>
      </c>
      <c r="R94" s="196">
        <v>44606</v>
      </c>
      <c r="S94" s="197">
        <f t="shared" si="127"/>
        <v>7</v>
      </c>
      <c r="T94" s="66">
        <f t="shared" si="128"/>
        <v>1</v>
      </c>
      <c r="U94" s="65"/>
      <c r="V94" s="70">
        <v>28.001000000000001</v>
      </c>
      <c r="W94" s="74" t="str">
        <f t="shared" si="150"/>
        <v/>
      </c>
      <c r="X94" s="70" t="str" cm="1">
        <f t="array" ref="X94">IF(U94="","",INDEX(STEP!$C:$C,MATCH('Position Control'!M94&amp;'Position Control'!P94,STEP!$A:$A&amp;STEP!$B:$B,0)))</f>
        <v/>
      </c>
      <c r="Y94" s="74" t="str">
        <f t="shared" si="129"/>
        <v/>
      </c>
      <c r="Z94" s="1">
        <v>7720</v>
      </c>
      <c r="AA94" s="112">
        <f>VLOOKUP(Z94,'WRK COMP'!$A$1:$E$17,5,FALSE)</f>
        <v>1.1011E-2</v>
      </c>
      <c r="AB94" s="76" t="s">
        <v>13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1" t="s">
        <v>14</v>
      </c>
      <c r="AK94" s="1" t="s">
        <v>15</v>
      </c>
      <c r="AL94" s="1" t="s">
        <v>16</v>
      </c>
      <c r="AM94" s="78">
        <f>IF(F94&gt;0.79,IF(ROUNDUP(IF(B94="FS",(V94*HRS!$B$9),(V94*HRS!$L$2))*2,-3)&gt;150000,150000,(ROUNDUP(IF(B94="FS",(V94*HRS!$B$9),(V94*HRS!$L$2))*2,-3))),0)</f>
        <v>117000</v>
      </c>
      <c r="AN94" s="188">
        <f t="shared" si="154"/>
        <v>58243</v>
      </c>
      <c r="AO94" s="77">
        <f>IF(L94="N",IF(B94="FS",ROUNDUP($V94*HRS!$B$9*'Position Control'!F94,0),ROUNDUP('Position Control'!$V94*HRS!$L$2*'Position Control'!F94,0)),IF('Position Control'!B94="FS",ROUNDUP(('Position Control'!V94*HRS!$B$9*'Position Control'!W94*'Position Control'!F94)+('Position Control'!X94*HRS!$B$9*'Position Control'!Y94*'Position Control'!F94),0),ROUNDUP(('Position Control'!V94*HRS!$L$2*'Position Control'!W94*'Position Control'!F94)+('Position Control'!X94*HRS!$L$2*'Position Control'!Y94*'Position Control'!F94),0)))*'Position Control'!H94</f>
        <v>58243</v>
      </c>
      <c r="AP94" s="77">
        <f t="shared" si="131"/>
        <v>0</v>
      </c>
      <c r="AQ94" s="77">
        <f t="shared" si="132"/>
        <v>0</v>
      </c>
      <c r="AR94" s="77">
        <f t="shared" si="133"/>
        <v>0</v>
      </c>
      <c r="AS94" s="77">
        <v>0</v>
      </c>
      <c r="AT94" s="79">
        <f t="shared" si="134"/>
        <v>0</v>
      </c>
      <c r="AU94" s="77">
        <f t="shared" si="135"/>
        <v>0</v>
      </c>
      <c r="AV94" s="77">
        <v>0</v>
      </c>
      <c r="AW94" s="77">
        <f t="shared" si="136"/>
        <v>0</v>
      </c>
      <c r="AX94" s="77">
        <f t="shared" si="137"/>
        <v>0</v>
      </c>
      <c r="AY94" s="77">
        <f t="shared" si="138"/>
        <v>0</v>
      </c>
      <c r="AZ94" s="77">
        <f t="shared" si="139"/>
        <v>0</v>
      </c>
      <c r="BA94" s="77">
        <f t="shared" si="140"/>
        <v>0</v>
      </c>
      <c r="BB94" s="77">
        <f t="shared" si="141"/>
        <v>0</v>
      </c>
      <c r="BC94" s="77">
        <f t="shared" si="152"/>
        <v>0</v>
      </c>
      <c r="BD94" s="77">
        <f t="shared" si="156"/>
        <v>0</v>
      </c>
      <c r="BE94" s="77">
        <v>0</v>
      </c>
      <c r="BF94" s="77">
        <f t="shared" si="142"/>
        <v>140.4</v>
      </c>
      <c r="BG94" s="77">
        <f>VLOOKUP($AJ94,BENE!$I$2:$N$9,6,FALSE)*'Position Control'!$H94</f>
        <v>389</v>
      </c>
      <c r="BH94" s="77">
        <f>VLOOKUP($AK94,BENE!$A$2:$F$19,6,FALSE)*'Position Control'!$H94</f>
        <v>6142</v>
      </c>
      <c r="BI94" s="77">
        <f>VLOOKUP($AK94,BENE!$A$2:$G$19,7,FALSE)*'Position Control'!$H94</f>
        <v>1000</v>
      </c>
      <c r="BJ94" s="77">
        <f>VLOOKUP($AL94,BENE!$P$2:$S$6,4,FALSE)*'Position Control'!$H94</f>
        <v>240</v>
      </c>
      <c r="BK94" s="77">
        <f>IF($F94&gt;HRS!$H$2,ROUNDUP(((($AN94+$BE94)*$BK$3)/12*9)+(($AN94+$BE94)*HRS!$B$10/12*3),0),0)*$H94</f>
        <v>9820</v>
      </c>
      <c r="BL94" s="80">
        <f t="shared" si="143"/>
        <v>642</v>
      </c>
      <c r="BM94" s="77">
        <f t="shared" si="144"/>
        <v>144</v>
      </c>
      <c r="BN94" s="77">
        <f t="shared" si="145"/>
        <v>845</v>
      </c>
      <c r="BO94" s="77">
        <f t="shared" si="146"/>
        <v>105</v>
      </c>
      <c r="BP94" s="77">
        <f t="shared" si="147"/>
        <v>0</v>
      </c>
      <c r="BQ94" s="77">
        <v>0</v>
      </c>
      <c r="BR94" s="80">
        <f t="shared" si="155"/>
        <v>77710.399999999994</v>
      </c>
    </row>
    <row r="95" spans="1:70" outlineLevel="1" x14ac:dyDescent="0.35">
      <c r="A95" s="1" t="s">
        <v>6</v>
      </c>
      <c r="B95" s="1" t="s">
        <v>74</v>
      </c>
      <c r="C95" s="1" t="s">
        <v>8</v>
      </c>
      <c r="D95" s="1" t="s">
        <v>71</v>
      </c>
      <c r="E95" s="1" t="s">
        <v>89</v>
      </c>
      <c r="F95" s="2">
        <v>1</v>
      </c>
      <c r="G95" s="66">
        <v>1</v>
      </c>
      <c r="H95" s="66">
        <v>1</v>
      </c>
      <c r="I95" s="1" t="s">
        <v>611</v>
      </c>
      <c r="J95" s="1" t="s">
        <v>612</v>
      </c>
      <c r="K95" s="1" t="s">
        <v>107</v>
      </c>
      <c r="L95" s="76" t="str">
        <f>IF(M95="","N",STEP!$J$22)</f>
        <v>N</v>
      </c>
      <c r="M95" s="1"/>
      <c r="N95" s="1"/>
      <c r="O95" s="1"/>
      <c r="P95" s="1"/>
      <c r="Q95" s="185">
        <v>20220214</v>
      </c>
      <c r="R95" s="196">
        <v>44606</v>
      </c>
      <c r="S95" s="197">
        <f t="shared" si="127"/>
        <v>7</v>
      </c>
      <c r="T95" s="66">
        <f t="shared" si="128"/>
        <v>1</v>
      </c>
      <c r="U95" s="65"/>
      <c r="V95" s="70">
        <v>28.001000000000001</v>
      </c>
      <c r="W95" s="74" t="str">
        <f t="shared" si="150"/>
        <v/>
      </c>
      <c r="X95" s="70" t="str" cm="1">
        <f t="array" ref="X95">IF(U95="","",INDEX(STEP!$C:$C,MATCH('Position Control'!M95&amp;'Position Control'!P95,STEP!$A:$A&amp;STEP!$B:$B,0)))</f>
        <v/>
      </c>
      <c r="Y95" s="74" t="str">
        <f t="shared" si="129"/>
        <v/>
      </c>
      <c r="Z95" s="1">
        <v>7720</v>
      </c>
      <c r="AA95" s="112">
        <f>VLOOKUP(Z95,'WRK COMP'!$A$1:$E$17,5,FALSE)</f>
        <v>1.1011E-2</v>
      </c>
      <c r="AB95" s="76" t="s">
        <v>13</v>
      </c>
      <c r="AC95" s="68">
        <v>0</v>
      </c>
      <c r="AD95" s="68">
        <v>0</v>
      </c>
      <c r="AE95" s="68">
        <v>0</v>
      </c>
      <c r="AF95" s="68">
        <v>0</v>
      </c>
      <c r="AG95" s="68">
        <v>0</v>
      </c>
      <c r="AH95" s="68">
        <v>0</v>
      </c>
      <c r="AI95" s="68">
        <v>0</v>
      </c>
      <c r="AJ95" s="1" t="s">
        <v>14</v>
      </c>
      <c r="AK95" s="1" t="s">
        <v>24</v>
      </c>
      <c r="AL95" s="10" t="s">
        <v>49</v>
      </c>
      <c r="AM95" s="78">
        <f>IF(F95&gt;0.79,IF(ROUNDUP(IF(B95="FS",(V95*HRS!$B$9),(V95*HRS!$L$2))*2,-3)&gt;150000,150000,(ROUNDUP(IF(B95="FS",(V95*HRS!$B$9),(V95*HRS!$L$2))*2,-3))),0)</f>
        <v>117000</v>
      </c>
      <c r="AN95" s="188">
        <f t="shared" si="154"/>
        <v>58243</v>
      </c>
      <c r="AO95" s="77">
        <f>IF(L95="N",IF(B95="FS",ROUNDUP($V95*HRS!$B$9*'Position Control'!F95,0),ROUNDUP('Position Control'!$V95*HRS!$L$2*'Position Control'!F95,0)),IF('Position Control'!B95="FS",ROUNDUP(('Position Control'!V95*HRS!$B$9*'Position Control'!W95*'Position Control'!F95)+('Position Control'!X95*HRS!$B$9*'Position Control'!Y95*'Position Control'!F95),0),ROUNDUP(('Position Control'!V95*HRS!$L$2*'Position Control'!W95*'Position Control'!F95)+('Position Control'!X95*HRS!$L$2*'Position Control'!Y95*'Position Control'!F95),0)))*'Position Control'!H95</f>
        <v>58243</v>
      </c>
      <c r="AP95" s="77">
        <f t="shared" si="131"/>
        <v>0</v>
      </c>
      <c r="AQ95" s="77">
        <f t="shared" si="132"/>
        <v>0</v>
      </c>
      <c r="AR95" s="77">
        <f t="shared" si="133"/>
        <v>0</v>
      </c>
      <c r="AS95" s="77">
        <v>0</v>
      </c>
      <c r="AT95" s="79">
        <f t="shared" si="134"/>
        <v>0</v>
      </c>
      <c r="AU95" s="77">
        <f t="shared" si="135"/>
        <v>0</v>
      </c>
      <c r="AV95" s="77">
        <v>0</v>
      </c>
      <c r="AW95" s="77">
        <f t="shared" si="136"/>
        <v>0</v>
      </c>
      <c r="AX95" s="77">
        <f t="shared" si="137"/>
        <v>0</v>
      </c>
      <c r="AY95" s="77">
        <f t="shared" si="138"/>
        <v>0</v>
      </c>
      <c r="AZ95" s="77">
        <f t="shared" si="139"/>
        <v>0</v>
      </c>
      <c r="BA95" s="77">
        <f t="shared" si="140"/>
        <v>0</v>
      </c>
      <c r="BB95" s="77">
        <f t="shared" si="141"/>
        <v>0</v>
      </c>
      <c r="BC95" s="77">
        <f t="shared" si="152"/>
        <v>0</v>
      </c>
      <c r="BD95" s="77">
        <f t="shared" si="156"/>
        <v>0</v>
      </c>
      <c r="BE95" s="77">
        <v>0</v>
      </c>
      <c r="BF95" s="77">
        <f t="shared" si="142"/>
        <v>140.4</v>
      </c>
      <c r="BG95" s="77">
        <f>VLOOKUP($AJ95,BENE!$I$2:$N$9,6,FALSE)*'Position Control'!$H95</f>
        <v>389</v>
      </c>
      <c r="BH95" s="77">
        <f>VLOOKUP($AK95,BENE!$A$2:$F$19,6,FALSE)*'Position Control'!$H95</f>
        <v>7234</v>
      </c>
      <c r="BI95" s="77">
        <f>VLOOKUP($AK95,BENE!$A$2:$G$19,7,FALSE)*'Position Control'!$H95</f>
        <v>0</v>
      </c>
      <c r="BJ95" s="77">
        <f>VLOOKUP($AL95,BENE!$P$2:$S$6,4,FALSE)*'Position Control'!$H95</f>
        <v>0</v>
      </c>
      <c r="BK95" s="77">
        <f>IF($F95&gt;HRS!$H$2,ROUNDUP(((($AN95+$BE95)*$BK$3)/12*9)+(($AN95+$BE95)*HRS!$B$10/12*3),0),0)*$H95</f>
        <v>9820</v>
      </c>
      <c r="BL95" s="80">
        <f t="shared" si="143"/>
        <v>642</v>
      </c>
      <c r="BM95" s="77">
        <f t="shared" si="144"/>
        <v>144</v>
      </c>
      <c r="BN95" s="77">
        <f t="shared" si="145"/>
        <v>845</v>
      </c>
      <c r="BO95" s="77">
        <f t="shared" si="146"/>
        <v>105</v>
      </c>
      <c r="BP95" s="77">
        <f t="shared" si="147"/>
        <v>0</v>
      </c>
      <c r="BQ95" s="77">
        <v>0</v>
      </c>
      <c r="BR95" s="80">
        <f t="shared" si="155"/>
        <v>77562.399999999994</v>
      </c>
    </row>
    <row r="96" spans="1:70" outlineLevel="1" x14ac:dyDescent="0.35">
      <c r="A96" s="1" t="s">
        <v>6</v>
      </c>
      <c r="B96" s="1" t="s">
        <v>74</v>
      </c>
      <c r="C96" s="1" t="s">
        <v>8</v>
      </c>
      <c r="D96" s="1" t="s">
        <v>71</v>
      </c>
      <c r="E96" s="1" t="s">
        <v>89</v>
      </c>
      <c r="F96" s="2">
        <v>1</v>
      </c>
      <c r="G96" s="66">
        <v>1</v>
      </c>
      <c r="H96" s="66">
        <v>1</v>
      </c>
      <c r="I96" s="1" t="s">
        <v>611</v>
      </c>
      <c r="J96" s="1" t="s">
        <v>612</v>
      </c>
      <c r="K96" s="1" t="s">
        <v>94</v>
      </c>
      <c r="L96" s="76" t="str">
        <f>IF(M96="","N",STEP!$J$22)</f>
        <v>N</v>
      </c>
      <c r="M96" s="1"/>
      <c r="N96" s="1"/>
      <c r="O96" s="1"/>
      <c r="P96" s="1"/>
      <c r="Q96" s="185">
        <v>20220214</v>
      </c>
      <c r="R96" s="196">
        <v>44606</v>
      </c>
      <c r="S96" s="197">
        <f t="shared" si="127"/>
        <v>7</v>
      </c>
      <c r="T96" s="66">
        <f t="shared" si="128"/>
        <v>1</v>
      </c>
      <c r="U96" s="65"/>
      <c r="V96" s="70">
        <v>28.001000000000001</v>
      </c>
      <c r="W96" s="74" t="str">
        <f t="shared" si="150"/>
        <v/>
      </c>
      <c r="X96" s="70" t="str" cm="1">
        <f t="array" ref="X96">IF(U96="","",INDEX(STEP!$C:$C,MATCH('Position Control'!M96&amp;'Position Control'!P96,STEP!$A:$A&amp;STEP!$B:$B,0)))</f>
        <v/>
      </c>
      <c r="Y96" s="74" t="str">
        <f t="shared" si="129"/>
        <v/>
      </c>
      <c r="Z96" s="1">
        <v>7720</v>
      </c>
      <c r="AA96" s="112">
        <f>VLOOKUP(Z96,'WRK COMP'!$A$1:$E$17,5,FALSE)</f>
        <v>1.1011E-2</v>
      </c>
      <c r="AB96" s="76" t="s">
        <v>13</v>
      </c>
      <c r="AC96" s="68">
        <v>0</v>
      </c>
      <c r="AD96" s="68">
        <v>57.69</v>
      </c>
      <c r="AE96" s="68">
        <v>0</v>
      </c>
      <c r="AF96" s="68">
        <v>0</v>
      </c>
      <c r="AG96" s="68">
        <v>0</v>
      </c>
      <c r="AH96" s="68">
        <v>0</v>
      </c>
      <c r="AI96" s="68">
        <v>0</v>
      </c>
      <c r="AJ96" s="1" t="s">
        <v>14</v>
      </c>
      <c r="AK96" s="1" t="s">
        <v>15</v>
      </c>
      <c r="AL96" s="1" t="s">
        <v>16</v>
      </c>
      <c r="AM96" s="78">
        <f>IF(F96&gt;0.79,IF(ROUNDUP(IF(B96="FS",(V96*HRS!$B$9),(V96*HRS!$L$2))*2,-3)&gt;150000,150000,(ROUNDUP(IF(B96="FS",(V96*HRS!$B$9),(V96*HRS!$L$2))*2,-3))),0)</f>
        <v>117000</v>
      </c>
      <c r="AN96" s="188">
        <f t="shared" si="154"/>
        <v>59743</v>
      </c>
      <c r="AO96" s="77">
        <f>IF(L96="N",IF(B96="FS",ROUNDUP($V96*HRS!$B$9*'Position Control'!F96,0),ROUNDUP('Position Control'!$V96*HRS!$L$2*'Position Control'!F96,0)),IF('Position Control'!B96="FS",ROUNDUP(('Position Control'!V96*HRS!$B$9*'Position Control'!W96*'Position Control'!F96)+('Position Control'!X96*HRS!$B$9*'Position Control'!Y96*'Position Control'!F96),0),ROUNDUP(('Position Control'!V96*HRS!$L$2*'Position Control'!W96*'Position Control'!F96)+('Position Control'!X96*HRS!$L$2*'Position Control'!Y96*'Position Control'!F96),0)))*'Position Control'!H96</f>
        <v>58243</v>
      </c>
      <c r="AP96" s="77">
        <f t="shared" si="131"/>
        <v>0</v>
      </c>
      <c r="AQ96" s="77">
        <f t="shared" si="132"/>
        <v>1500</v>
      </c>
      <c r="AR96" s="77">
        <f t="shared" si="133"/>
        <v>0</v>
      </c>
      <c r="AS96" s="77">
        <v>0</v>
      </c>
      <c r="AT96" s="79">
        <f t="shared" si="134"/>
        <v>0</v>
      </c>
      <c r="AU96" s="77">
        <f t="shared" si="135"/>
        <v>0</v>
      </c>
      <c r="AV96" s="77">
        <v>0</v>
      </c>
      <c r="AW96" s="77">
        <f t="shared" si="136"/>
        <v>0</v>
      </c>
      <c r="AX96" s="77">
        <f t="shared" si="137"/>
        <v>0</v>
      </c>
      <c r="AY96" s="77">
        <f t="shared" si="138"/>
        <v>0</v>
      </c>
      <c r="AZ96" s="77">
        <f t="shared" si="139"/>
        <v>0</v>
      </c>
      <c r="BA96" s="77">
        <f t="shared" si="140"/>
        <v>0</v>
      </c>
      <c r="BB96" s="77">
        <f t="shared" si="141"/>
        <v>0</v>
      </c>
      <c r="BC96" s="77">
        <f t="shared" si="152"/>
        <v>0</v>
      </c>
      <c r="BD96" s="77">
        <f t="shared" si="156"/>
        <v>0</v>
      </c>
      <c r="BE96" s="77">
        <v>0</v>
      </c>
      <c r="BF96" s="77">
        <f t="shared" si="142"/>
        <v>140.4</v>
      </c>
      <c r="BG96" s="77">
        <f>VLOOKUP($AJ96,BENE!$I$2:$N$9,6,FALSE)*'Position Control'!$H96</f>
        <v>389</v>
      </c>
      <c r="BH96" s="77">
        <f>VLOOKUP($AK96,BENE!$A$2:$F$19,6,FALSE)*'Position Control'!$H96</f>
        <v>6142</v>
      </c>
      <c r="BI96" s="77">
        <f>VLOOKUP($AK96,BENE!$A$2:$G$19,7,FALSE)*'Position Control'!$H96</f>
        <v>1000</v>
      </c>
      <c r="BJ96" s="77">
        <f>VLOOKUP($AL96,BENE!$P$2:$S$6,4,FALSE)*'Position Control'!$H96</f>
        <v>240</v>
      </c>
      <c r="BK96" s="77">
        <f>IF($F96&gt;HRS!$H$2,ROUNDUP(((($AN96+$BE96)*$BK$3)/12*9)+(($AN96+$BE96)*HRS!$B$10/12*3),0),0)*$H96</f>
        <v>10073</v>
      </c>
      <c r="BL96" s="80">
        <f t="shared" si="143"/>
        <v>658</v>
      </c>
      <c r="BM96" s="77">
        <f t="shared" si="144"/>
        <v>144</v>
      </c>
      <c r="BN96" s="77">
        <f t="shared" si="145"/>
        <v>867</v>
      </c>
      <c r="BO96" s="77">
        <f t="shared" si="146"/>
        <v>108</v>
      </c>
      <c r="BP96" s="77">
        <f t="shared" si="147"/>
        <v>0</v>
      </c>
      <c r="BQ96" s="77">
        <v>0</v>
      </c>
      <c r="BR96" s="80">
        <f t="shared" si="155"/>
        <v>79504.399999999994</v>
      </c>
    </row>
    <row r="97" spans="1:70" outlineLevel="1" x14ac:dyDescent="0.35">
      <c r="A97" s="1" t="s">
        <v>6</v>
      </c>
      <c r="B97" s="1" t="s">
        <v>74</v>
      </c>
      <c r="C97" s="1" t="s">
        <v>8</v>
      </c>
      <c r="D97" s="1" t="s">
        <v>71</v>
      </c>
      <c r="E97" s="1" t="s">
        <v>89</v>
      </c>
      <c r="F97" s="2">
        <v>1</v>
      </c>
      <c r="G97" s="66">
        <v>1</v>
      </c>
      <c r="H97" s="66">
        <v>1</v>
      </c>
      <c r="I97" s="1" t="s">
        <v>611</v>
      </c>
      <c r="J97" s="1" t="s">
        <v>612</v>
      </c>
      <c r="K97" s="1" t="s">
        <v>100</v>
      </c>
      <c r="L97" s="76" t="str">
        <f>IF(M97="","N",STEP!$J$22)</f>
        <v>Y</v>
      </c>
      <c r="M97" s="194" t="s">
        <v>79</v>
      </c>
      <c r="N97" s="1" t="s">
        <v>80</v>
      </c>
      <c r="O97" s="1">
        <v>1</v>
      </c>
      <c r="P97" s="1">
        <v>1</v>
      </c>
      <c r="Q97" s="185">
        <v>20211122</v>
      </c>
      <c r="R97" s="196">
        <v>44522</v>
      </c>
      <c r="S97" s="197">
        <f t="shared" si="127"/>
        <v>10</v>
      </c>
      <c r="T97" s="66">
        <f t="shared" si="128"/>
        <v>1</v>
      </c>
      <c r="U97" s="65">
        <v>20211015</v>
      </c>
      <c r="V97" s="70">
        <v>28.53</v>
      </c>
      <c r="W97" s="74">
        <f t="shared" si="150"/>
        <v>1.3999999999999568E-3</v>
      </c>
      <c r="X97" s="70" cm="1">
        <f t="array" ref="X97">IF(U97="","",INDEX(STEP!$C:$C,MATCH('Position Control'!M97&amp;'Position Control'!P97,STEP!$A:$A&amp;STEP!$B:$B,0)))</f>
        <v>30.937999999999999</v>
      </c>
      <c r="Y97" s="74">
        <f t="shared" si="129"/>
        <v>0.99860000000000004</v>
      </c>
      <c r="Z97" s="1">
        <v>7720</v>
      </c>
      <c r="AA97" s="112">
        <f>VLOOKUP(Z97,'WRK COMP'!$A$1:$E$17,5,FALSE)</f>
        <v>1.1011E-2</v>
      </c>
      <c r="AB97" s="76" t="s">
        <v>13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1" t="s">
        <v>14</v>
      </c>
      <c r="AK97" s="1" t="s">
        <v>15</v>
      </c>
      <c r="AL97" s="1" t="s">
        <v>16</v>
      </c>
      <c r="AM97" s="78">
        <f>IF(F97&gt;0.79,IF(ROUNDUP(IF(B97="FS",(V97*HRS!$B$9),(V97*HRS!$L$2))*2,-3)&gt;150000,150000,(ROUNDUP(IF(B97="FS",(V97*HRS!$B$9),(V97*HRS!$L$2))*2,-3))),0)</f>
        <v>119000</v>
      </c>
      <c r="AN97" s="188">
        <f t="shared" si="154"/>
        <v>64345</v>
      </c>
      <c r="AO97" s="77">
        <f>IF(L97="N",IF(B97="FS",ROUNDUP($V97*HRS!$B$9*'Position Control'!F97,0),ROUNDUP('Position Control'!$V97*HRS!$L$2*'Position Control'!F97,0)),IF('Position Control'!B97="FS",ROUNDUP(('Position Control'!V97*HRS!$B$9*'Position Control'!W97*'Position Control'!F97)+('Position Control'!X97*HRS!$B$9*'Position Control'!Y97*'Position Control'!F97),0),ROUNDUP(('Position Control'!V97*HRS!$L$2*'Position Control'!W97*'Position Control'!F97)+('Position Control'!X97*HRS!$L$2*'Position Control'!Y97*'Position Control'!F97),0)))*'Position Control'!H97</f>
        <v>64345</v>
      </c>
      <c r="AP97" s="77">
        <f t="shared" si="131"/>
        <v>0</v>
      </c>
      <c r="AQ97" s="77">
        <f t="shared" si="132"/>
        <v>0</v>
      </c>
      <c r="AR97" s="77">
        <f t="shared" si="133"/>
        <v>0</v>
      </c>
      <c r="AS97" s="77">
        <v>0</v>
      </c>
      <c r="AT97" s="79">
        <f t="shared" si="134"/>
        <v>0</v>
      </c>
      <c r="AU97" s="77">
        <f t="shared" si="135"/>
        <v>0</v>
      </c>
      <c r="AV97" s="77">
        <v>0</v>
      </c>
      <c r="AW97" s="77">
        <f t="shared" si="136"/>
        <v>0</v>
      </c>
      <c r="AX97" s="77">
        <f t="shared" si="137"/>
        <v>0</v>
      </c>
      <c r="AY97" s="77">
        <f t="shared" si="138"/>
        <v>0</v>
      </c>
      <c r="AZ97" s="77">
        <f t="shared" si="139"/>
        <v>0</v>
      </c>
      <c r="BA97" s="77">
        <f t="shared" si="140"/>
        <v>0</v>
      </c>
      <c r="BB97" s="77">
        <f t="shared" si="141"/>
        <v>0</v>
      </c>
      <c r="BC97" s="77">
        <f t="shared" si="152"/>
        <v>0</v>
      </c>
      <c r="BD97" s="77">
        <f t="shared" si="156"/>
        <v>0</v>
      </c>
      <c r="BE97" s="77">
        <v>0</v>
      </c>
      <c r="BF97" s="77">
        <f t="shared" si="142"/>
        <v>142.80000000000001</v>
      </c>
      <c r="BG97" s="77">
        <f>VLOOKUP($AJ97,BENE!$I$2:$N$9,6,FALSE)*'Position Control'!$H97</f>
        <v>389</v>
      </c>
      <c r="BH97" s="77">
        <f>VLOOKUP($AK97,BENE!$A$2:$F$19,6,FALSE)*'Position Control'!$H97</f>
        <v>6142</v>
      </c>
      <c r="BI97" s="77">
        <f>VLOOKUP($AK97,BENE!$A$2:$G$19,7,FALSE)*'Position Control'!$H97</f>
        <v>1000</v>
      </c>
      <c r="BJ97" s="77">
        <f>VLOOKUP($AL97,BENE!$P$2:$S$6,4,FALSE)*'Position Control'!$H97</f>
        <v>240</v>
      </c>
      <c r="BK97" s="77">
        <f>IF($F97&gt;HRS!$H$2,ROUNDUP(((($AN97+$BE97)*$BK$3)/12*9)+(($AN97+$BE97)*HRS!$B$10/12*3),0),0)*$H97</f>
        <v>10849</v>
      </c>
      <c r="BL97" s="80">
        <f t="shared" si="143"/>
        <v>709</v>
      </c>
      <c r="BM97" s="77">
        <f t="shared" si="144"/>
        <v>144</v>
      </c>
      <c r="BN97" s="77">
        <f t="shared" si="145"/>
        <v>934</v>
      </c>
      <c r="BO97" s="77">
        <f t="shared" si="146"/>
        <v>116</v>
      </c>
      <c r="BP97" s="77">
        <f t="shared" si="147"/>
        <v>0</v>
      </c>
      <c r="BQ97" s="77">
        <v>0</v>
      </c>
      <c r="BR97" s="80">
        <f t="shared" si="155"/>
        <v>85010.8</v>
      </c>
    </row>
    <row r="98" spans="1:70" outlineLevel="1" x14ac:dyDescent="0.35">
      <c r="A98" s="1" t="s">
        <v>6</v>
      </c>
      <c r="B98" s="1" t="s">
        <v>74</v>
      </c>
      <c r="C98" s="1" t="s">
        <v>8</v>
      </c>
      <c r="D98" s="1" t="s">
        <v>71</v>
      </c>
      <c r="E98" s="1" t="s">
        <v>89</v>
      </c>
      <c r="F98" s="2">
        <v>1</v>
      </c>
      <c r="G98" s="66">
        <v>1</v>
      </c>
      <c r="H98" s="66">
        <v>1</v>
      </c>
      <c r="I98" s="1" t="s">
        <v>611</v>
      </c>
      <c r="J98" s="1" t="s">
        <v>612</v>
      </c>
      <c r="K98" s="1" t="s">
        <v>137</v>
      </c>
      <c r="L98" s="76" t="str">
        <f>IF(M98="","N",STEP!$J$22)</f>
        <v>N</v>
      </c>
      <c r="M98" s="1"/>
      <c r="N98" s="1"/>
      <c r="O98" s="1"/>
      <c r="P98" s="1"/>
      <c r="Q98" s="185">
        <v>20220418</v>
      </c>
      <c r="R98" s="196">
        <v>44669</v>
      </c>
      <c r="S98" s="197">
        <f t="shared" si="127"/>
        <v>5</v>
      </c>
      <c r="T98" s="66">
        <f t="shared" si="128"/>
        <v>1</v>
      </c>
      <c r="U98" s="65"/>
      <c r="V98" s="70">
        <v>28.001000000000001</v>
      </c>
      <c r="W98" s="74" t="str">
        <f t="shared" si="150"/>
        <v/>
      </c>
      <c r="X98" s="70" t="str" cm="1">
        <f t="array" ref="X98">IF(U98="","",INDEX(STEP!$C:$C,MATCH('Position Control'!M98&amp;'Position Control'!P98,STEP!$A:$A&amp;STEP!$B:$B,0)))</f>
        <v/>
      </c>
      <c r="Y98" s="74" t="str">
        <f t="shared" si="129"/>
        <v/>
      </c>
      <c r="Z98" s="1">
        <v>7720</v>
      </c>
      <c r="AA98" s="112">
        <f>VLOOKUP(Z98,'WRK COMP'!$A$1:$E$17,5,FALSE)</f>
        <v>1.1011E-2</v>
      </c>
      <c r="AB98" s="76" t="s">
        <v>13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9" t="s">
        <v>49</v>
      </c>
      <c r="AK98" s="10" t="s">
        <v>49</v>
      </c>
      <c r="AL98" s="1" t="s">
        <v>16</v>
      </c>
      <c r="AM98" s="78">
        <f>IF(F98&gt;0.79,IF(ROUNDUP(IF(B98="FS",(V98*HRS!$B$9),(V98*HRS!$L$2))*2,-3)&gt;150000,150000,(ROUNDUP(IF(B98="FS",(V98*HRS!$B$9),(V98*HRS!$L$2))*2,-3))),0)</f>
        <v>117000</v>
      </c>
      <c r="AN98" s="188">
        <f t="shared" si="154"/>
        <v>58243</v>
      </c>
      <c r="AO98" s="77">
        <f>IF(L98="N",IF(B98="FS",ROUNDUP($V98*HRS!$B$9*'Position Control'!F98,0),ROUNDUP('Position Control'!$V98*HRS!$L$2*'Position Control'!F98,0)),IF('Position Control'!B98="FS",ROUNDUP(('Position Control'!V98*HRS!$B$9*'Position Control'!W98*'Position Control'!F98)+('Position Control'!X98*HRS!$B$9*'Position Control'!Y98*'Position Control'!F98),0),ROUNDUP(('Position Control'!V98*HRS!$L$2*'Position Control'!W98*'Position Control'!F98)+('Position Control'!X98*HRS!$L$2*'Position Control'!Y98*'Position Control'!F98),0)))*'Position Control'!H98</f>
        <v>58243</v>
      </c>
      <c r="AP98" s="77">
        <f t="shared" si="131"/>
        <v>0</v>
      </c>
      <c r="AQ98" s="77">
        <f t="shared" si="132"/>
        <v>0</v>
      </c>
      <c r="AR98" s="77">
        <f t="shared" si="133"/>
        <v>0</v>
      </c>
      <c r="AS98" s="77">
        <v>0</v>
      </c>
      <c r="AT98" s="79">
        <f t="shared" si="134"/>
        <v>0</v>
      </c>
      <c r="AU98" s="77">
        <f t="shared" si="135"/>
        <v>0</v>
      </c>
      <c r="AV98" s="77">
        <v>0</v>
      </c>
      <c r="AW98" s="77">
        <f t="shared" si="136"/>
        <v>0</v>
      </c>
      <c r="AX98" s="77">
        <f t="shared" si="137"/>
        <v>0</v>
      </c>
      <c r="AY98" s="77">
        <f t="shared" si="138"/>
        <v>0</v>
      </c>
      <c r="AZ98" s="77">
        <f t="shared" si="139"/>
        <v>0</v>
      </c>
      <c r="BA98" s="77">
        <f t="shared" si="140"/>
        <v>0</v>
      </c>
      <c r="BB98" s="77">
        <f t="shared" si="141"/>
        <v>0</v>
      </c>
      <c r="BC98" s="77">
        <f t="shared" si="152"/>
        <v>0</v>
      </c>
      <c r="BD98" s="77">
        <f t="shared" si="156"/>
        <v>0</v>
      </c>
      <c r="BE98" s="77">
        <v>0</v>
      </c>
      <c r="BF98" s="77">
        <f t="shared" si="142"/>
        <v>140.4</v>
      </c>
      <c r="BG98" s="77">
        <f>VLOOKUP($AJ98,BENE!$I$2:$N$9,6,FALSE)*'Position Control'!$H98</f>
        <v>0</v>
      </c>
      <c r="BH98" s="77">
        <f>VLOOKUP($AK98,BENE!$A$2:$F$19,6,FALSE)*'Position Control'!$H98</f>
        <v>0</v>
      </c>
      <c r="BI98" s="77">
        <f>VLOOKUP($AK98,BENE!$A$2:$G$19,7,FALSE)*'Position Control'!$H98</f>
        <v>0</v>
      </c>
      <c r="BJ98" s="77">
        <f>VLOOKUP($AL98,BENE!$P$2:$S$6,4,FALSE)*'Position Control'!$H98</f>
        <v>240</v>
      </c>
      <c r="BK98" s="77">
        <f>IF($F98&gt;HRS!$H$2,ROUNDUP(((($AN98+$BE98)*$BK$3)/12*9)+(($AN98+$BE98)*HRS!$B$10/12*3),0),0)*$H98</f>
        <v>9820</v>
      </c>
      <c r="BL98" s="80">
        <f t="shared" si="143"/>
        <v>642</v>
      </c>
      <c r="BM98" s="77">
        <f t="shared" si="144"/>
        <v>144</v>
      </c>
      <c r="BN98" s="77">
        <f t="shared" si="145"/>
        <v>845</v>
      </c>
      <c r="BO98" s="77">
        <f t="shared" si="146"/>
        <v>105</v>
      </c>
      <c r="BP98" s="77">
        <f t="shared" si="147"/>
        <v>0</v>
      </c>
      <c r="BQ98" s="77">
        <v>0</v>
      </c>
      <c r="BR98" s="80">
        <f t="shared" si="155"/>
        <v>70179.399999999994</v>
      </c>
    </row>
    <row r="99" spans="1:70" outlineLevel="1" x14ac:dyDescent="0.35">
      <c r="A99" s="1" t="s">
        <v>6</v>
      </c>
      <c r="B99" s="1" t="s">
        <v>7</v>
      </c>
      <c r="C99" s="1" t="s">
        <v>8</v>
      </c>
      <c r="D99" s="1" t="s">
        <v>71</v>
      </c>
      <c r="E99" s="1" t="s">
        <v>89</v>
      </c>
      <c r="F99" s="2">
        <v>1</v>
      </c>
      <c r="G99" s="66">
        <v>1</v>
      </c>
      <c r="H99" s="66">
        <v>1</v>
      </c>
      <c r="I99" s="1" t="s">
        <v>611</v>
      </c>
      <c r="J99" s="1" t="s">
        <v>612</v>
      </c>
      <c r="K99" s="1" t="s">
        <v>114</v>
      </c>
      <c r="L99" s="76" t="str">
        <f>IF(M99="","N",STEP!$J$22)</f>
        <v>N</v>
      </c>
      <c r="M99" s="1" t="s">
        <v>11</v>
      </c>
      <c r="N99" s="1" t="s">
        <v>11</v>
      </c>
      <c r="O99" s="1" t="s">
        <v>11</v>
      </c>
      <c r="P99" s="1"/>
      <c r="Q99" s="185">
        <v>19870504</v>
      </c>
      <c r="R99" s="196">
        <v>31901</v>
      </c>
      <c r="S99" s="197">
        <f t="shared" si="127"/>
        <v>424</v>
      </c>
      <c r="T99" s="66">
        <f t="shared" si="128"/>
        <v>36</v>
      </c>
      <c r="U99" s="65" t="s">
        <v>11</v>
      </c>
      <c r="V99" s="70">
        <v>38.792400000000001</v>
      </c>
      <c r="W99" s="74" t="str">
        <f t="shared" si="150"/>
        <v/>
      </c>
      <c r="X99" s="70" t="str" cm="1">
        <f t="array" ref="X99">IF(U99="","",INDEX(STEP!$C:$C,MATCH('Position Control'!M99&amp;'Position Control'!P99,STEP!$A:$A&amp;STEP!$B:$B,0)))</f>
        <v/>
      </c>
      <c r="Y99" s="74" t="str">
        <f t="shared" si="129"/>
        <v/>
      </c>
      <c r="Z99" s="1">
        <v>8810</v>
      </c>
      <c r="AA99" s="112">
        <f>VLOOKUP(Z99,'WRK COMP'!$A$1:$E$17,5,FALSE)</f>
        <v>1.0169999999999999E-3</v>
      </c>
      <c r="AB99" s="76" t="s">
        <v>13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1" t="s">
        <v>14</v>
      </c>
      <c r="AK99" s="1" t="s">
        <v>15</v>
      </c>
      <c r="AL99" s="1" t="s">
        <v>16</v>
      </c>
      <c r="AM99" s="78">
        <f>IF(F99&gt;0.79,IF(ROUNDUP(IF(B99="FS",(V99*HRS!$B$9),(V99*HRS!$L$2))*2,-3)&gt;150000,150000,(ROUNDUP(IF(B99="FS",(V99*HRS!$B$9),(V99*HRS!$L$2))*2,-3))),0)</f>
        <v>150000</v>
      </c>
      <c r="AN99" s="188">
        <f t="shared" si="154"/>
        <v>80689</v>
      </c>
      <c r="AO99" s="77">
        <f>IF(L99="N",IF(B99="FS",ROUNDUP($V99*HRS!$B$9*'Position Control'!F99,0),ROUNDUP('Position Control'!$V99*HRS!$L$2*'Position Control'!F99,0)),IF('Position Control'!B99="FS",ROUNDUP(('Position Control'!V99*HRS!$B$9*'Position Control'!W99*'Position Control'!F99)+('Position Control'!X99*HRS!$B$9*'Position Control'!Y99*'Position Control'!F99),0),ROUNDUP(('Position Control'!V99*HRS!$L$2*'Position Control'!W99*'Position Control'!F99)+('Position Control'!X99*HRS!$L$2*'Position Control'!Y99*'Position Control'!F99),0)))*'Position Control'!H99</f>
        <v>80689</v>
      </c>
      <c r="AP99" s="77">
        <f t="shared" si="131"/>
        <v>0</v>
      </c>
      <c r="AQ99" s="77">
        <f t="shared" si="132"/>
        <v>0</v>
      </c>
      <c r="AR99" s="77">
        <f t="shared" si="133"/>
        <v>0</v>
      </c>
      <c r="AS99" s="77">
        <v>0</v>
      </c>
      <c r="AT99" s="79">
        <f t="shared" si="134"/>
        <v>0</v>
      </c>
      <c r="AU99" s="77">
        <f t="shared" si="135"/>
        <v>0</v>
      </c>
      <c r="AV99" s="77">
        <v>0</v>
      </c>
      <c r="AW99" s="77">
        <f t="shared" si="136"/>
        <v>0</v>
      </c>
      <c r="AX99" s="77">
        <f t="shared" si="137"/>
        <v>0</v>
      </c>
      <c r="AY99" s="77">
        <f t="shared" si="138"/>
        <v>0</v>
      </c>
      <c r="AZ99" s="77">
        <f t="shared" si="139"/>
        <v>0</v>
      </c>
      <c r="BA99" s="77">
        <f t="shared" si="140"/>
        <v>0</v>
      </c>
      <c r="BB99" s="77">
        <f t="shared" si="141"/>
        <v>0</v>
      </c>
      <c r="BC99" s="77">
        <f t="shared" si="152"/>
        <v>0</v>
      </c>
      <c r="BD99" s="77">
        <f t="shared" si="156"/>
        <v>1200</v>
      </c>
      <c r="BE99" s="77">
        <v>0</v>
      </c>
      <c r="BF99" s="77">
        <f t="shared" si="142"/>
        <v>180</v>
      </c>
      <c r="BG99" s="77">
        <f>VLOOKUP($AJ99,BENE!$I$2:$N$9,6,FALSE)*'Position Control'!$H99</f>
        <v>389</v>
      </c>
      <c r="BH99" s="77">
        <f>VLOOKUP($AK99,BENE!$A$2:$F$19,6,FALSE)*'Position Control'!$H99</f>
        <v>6142</v>
      </c>
      <c r="BI99" s="77">
        <f>VLOOKUP($AK99,BENE!$A$2:$G$19,7,FALSE)*'Position Control'!$H99</f>
        <v>1000</v>
      </c>
      <c r="BJ99" s="77">
        <f>VLOOKUP($AL99,BENE!$P$2:$S$6,4,FALSE)*'Position Control'!$H99</f>
        <v>240</v>
      </c>
      <c r="BK99" s="77">
        <f>IF($F99&gt;HRS!$H$2,ROUNDUP(((($AN99+$BE99)*$BK$3)/12*9)+(($AN99+$BE99)*HRS!$B$10/12*3),0),0)*$H99</f>
        <v>13605</v>
      </c>
      <c r="BL99" s="80">
        <f t="shared" si="143"/>
        <v>83</v>
      </c>
      <c r="BM99" s="77">
        <f t="shared" si="144"/>
        <v>144</v>
      </c>
      <c r="BN99" s="77">
        <f t="shared" si="145"/>
        <v>1170</v>
      </c>
      <c r="BO99" s="77">
        <f t="shared" si="146"/>
        <v>145</v>
      </c>
      <c r="BP99" s="77">
        <f t="shared" si="147"/>
        <v>2000</v>
      </c>
      <c r="BQ99" s="77">
        <v>0</v>
      </c>
      <c r="BR99" s="80">
        <f t="shared" si="155"/>
        <v>106987</v>
      </c>
    </row>
    <row r="100" spans="1:70" outlineLevel="1" x14ac:dyDescent="0.35">
      <c r="A100" s="1" t="s">
        <v>6</v>
      </c>
      <c r="B100" s="1" t="s">
        <v>7</v>
      </c>
      <c r="C100" s="1" t="s">
        <v>8</v>
      </c>
      <c r="D100" s="1" t="s">
        <v>71</v>
      </c>
      <c r="E100" s="1" t="s">
        <v>89</v>
      </c>
      <c r="F100" s="2">
        <v>1</v>
      </c>
      <c r="G100" s="66">
        <v>1</v>
      </c>
      <c r="H100" s="66">
        <v>1</v>
      </c>
      <c r="I100" s="1" t="s">
        <v>611</v>
      </c>
      <c r="J100" s="1" t="s">
        <v>612</v>
      </c>
      <c r="K100" s="1" t="s">
        <v>122</v>
      </c>
      <c r="L100" s="76" t="str">
        <f>IF(M100="","N",STEP!$J$22)</f>
        <v>N</v>
      </c>
      <c r="M100" s="1" t="s">
        <v>11</v>
      </c>
      <c r="N100" s="1" t="s">
        <v>11</v>
      </c>
      <c r="O100" s="1" t="s">
        <v>11</v>
      </c>
      <c r="P100" s="1"/>
      <c r="Q100" s="185">
        <v>20060601</v>
      </c>
      <c r="R100" s="196">
        <v>38869</v>
      </c>
      <c r="S100" s="197">
        <f t="shared" si="127"/>
        <v>195</v>
      </c>
      <c r="T100" s="66">
        <f t="shared" si="128"/>
        <v>17</v>
      </c>
      <c r="U100" s="65" t="s">
        <v>11</v>
      </c>
      <c r="V100" s="70">
        <v>26.812799999999999</v>
      </c>
      <c r="W100" s="74" t="str">
        <f t="shared" si="150"/>
        <v/>
      </c>
      <c r="X100" s="70" t="str" cm="1">
        <f t="array" ref="X100">IF(U100="","",INDEX(STEP!$C:$C,MATCH('Position Control'!M100&amp;'Position Control'!P100,STEP!$A:$A&amp;STEP!$B:$B,0)))</f>
        <v/>
      </c>
      <c r="Y100" s="74" t="str">
        <f t="shared" si="129"/>
        <v/>
      </c>
      <c r="Z100" s="1">
        <v>8810</v>
      </c>
      <c r="AA100" s="112">
        <f>VLOOKUP(Z100,'WRK COMP'!$A$1:$E$17,5,FALSE)</f>
        <v>1.0169999999999999E-3</v>
      </c>
      <c r="AB100" s="76" t="s">
        <v>13</v>
      </c>
      <c r="AC100" s="68">
        <v>0</v>
      </c>
      <c r="AD100" s="68">
        <v>34.619999999999997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1" t="s">
        <v>28</v>
      </c>
      <c r="AK100" s="1" t="s">
        <v>15</v>
      </c>
      <c r="AL100" s="1" t="s">
        <v>16</v>
      </c>
      <c r="AM100" s="78">
        <f>IF(F100&gt;0.79,IF(ROUNDUP(IF(B100="FS",(V100*HRS!$B$9),(V100*HRS!$L$2))*2,-3)&gt;150000,150000,(ROUNDUP(IF(B100="FS",(V100*HRS!$B$9),(V100*HRS!$L$2))*2,-3))),0)</f>
        <v>112000</v>
      </c>
      <c r="AN100" s="188">
        <f t="shared" si="154"/>
        <v>57572</v>
      </c>
      <c r="AO100" s="77">
        <f>IF(L100="N",IF(B100="FS",ROUNDUP($V100*HRS!$B$9*'Position Control'!F100,0),ROUNDUP('Position Control'!$V100*HRS!$L$2*'Position Control'!F100,0)),IF('Position Control'!B100="FS",ROUNDUP(('Position Control'!V100*HRS!$B$9*'Position Control'!W100*'Position Control'!F100)+('Position Control'!X100*HRS!$B$9*'Position Control'!Y100*'Position Control'!F100),0),ROUNDUP(('Position Control'!V100*HRS!$L$2*'Position Control'!W100*'Position Control'!F100)+('Position Control'!X100*HRS!$L$2*'Position Control'!Y100*'Position Control'!F100),0)))*'Position Control'!H100</f>
        <v>55771</v>
      </c>
      <c r="AP100" s="77">
        <f t="shared" si="131"/>
        <v>0</v>
      </c>
      <c r="AQ100" s="77">
        <f t="shared" si="132"/>
        <v>1801</v>
      </c>
      <c r="AR100" s="77">
        <f t="shared" si="133"/>
        <v>0</v>
      </c>
      <c r="AS100" s="77">
        <v>0</v>
      </c>
      <c r="AT100" s="79">
        <f t="shared" si="134"/>
        <v>0</v>
      </c>
      <c r="AU100" s="77">
        <f t="shared" si="135"/>
        <v>0</v>
      </c>
      <c r="AV100" s="77">
        <v>0</v>
      </c>
      <c r="AW100" s="77">
        <f t="shared" si="136"/>
        <v>0</v>
      </c>
      <c r="AX100" s="77">
        <f t="shared" si="137"/>
        <v>0</v>
      </c>
      <c r="AY100" s="77">
        <f t="shared" si="138"/>
        <v>0</v>
      </c>
      <c r="AZ100" s="77">
        <f t="shared" si="139"/>
        <v>0</v>
      </c>
      <c r="BA100" s="77">
        <f t="shared" si="140"/>
        <v>0</v>
      </c>
      <c r="BB100" s="77">
        <f t="shared" si="141"/>
        <v>0</v>
      </c>
      <c r="BC100" s="77">
        <f t="shared" si="152"/>
        <v>0</v>
      </c>
      <c r="BD100" s="77">
        <f t="shared" si="156"/>
        <v>975</v>
      </c>
      <c r="BE100" s="77">
        <v>0</v>
      </c>
      <c r="BF100" s="77">
        <f t="shared" si="142"/>
        <v>134.4</v>
      </c>
      <c r="BG100" s="77">
        <f>VLOOKUP($AJ100,BENE!$I$2:$N$9,6,FALSE)*'Position Control'!$H100</f>
        <v>154</v>
      </c>
      <c r="BH100" s="77">
        <f>VLOOKUP($AK100,BENE!$A$2:$F$19,6,FALSE)*'Position Control'!$H100</f>
        <v>6142</v>
      </c>
      <c r="BI100" s="77">
        <f>VLOOKUP($AK100,BENE!$A$2:$G$19,7,FALSE)*'Position Control'!$H100</f>
        <v>1000</v>
      </c>
      <c r="BJ100" s="77">
        <f>VLOOKUP($AL100,BENE!$P$2:$S$6,4,FALSE)*'Position Control'!$H100</f>
        <v>240</v>
      </c>
      <c r="BK100" s="77">
        <f>IF($F100&gt;HRS!$H$2,ROUNDUP(((($AN100+$BE100)*$BK$3)/12*9)+(($AN100+$BE100)*HRS!$B$10/12*3),0),0)*$H100</f>
        <v>9707</v>
      </c>
      <c r="BL100" s="80">
        <f t="shared" si="143"/>
        <v>59</v>
      </c>
      <c r="BM100" s="77">
        <f t="shared" si="144"/>
        <v>144</v>
      </c>
      <c r="BN100" s="77">
        <f t="shared" si="145"/>
        <v>835</v>
      </c>
      <c r="BO100" s="77">
        <f t="shared" si="146"/>
        <v>104</v>
      </c>
      <c r="BP100" s="77">
        <f t="shared" si="147"/>
        <v>1500</v>
      </c>
      <c r="BQ100" s="77">
        <v>0</v>
      </c>
      <c r="BR100" s="80">
        <f t="shared" si="155"/>
        <v>78566.399999999994</v>
      </c>
    </row>
    <row r="101" spans="1:70" outlineLevel="1" x14ac:dyDescent="0.35">
      <c r="A101" s="1" t="s">
        <v>6</v>
      </c>
      <c r="B101" s="1" t="s">
        <v>7</v>
      </c>
      <c r="C101" s="1" t="s">
        <v>8</v>
      </c>
      <c r="D101" s="1" t="s">
        <v>71</v>
      </c>
      <c r="E101" s="1" t="s">
        <v>89</v>
      </c>
      <c r="F101" s="2">
        <v>1</v>
      </c>
      <c r="G101" s="66">
        <v>1</v>
      </c>
      <c r="H101" s="66">
        <v>1</v>
      </c>
      <c r="I101" s="1" t="s">
        <v>611</v>
      </c>
      <c r="J101" s="1" t="s">
        <v>612</v>
      </c>
      <c r="K101" s="1" t="s">
        <v>90</v>
      </c>
      <c r="L101" s="76" t="str">
        <f>IF(M101="","N",STEP!$J$22)</f>
        <v>N</v>
      </c>
      <c r="M101" s="1" t="s">
        <v>11</v>
      </c>
      <c r="N101" s="1" t="s">
        <v>11</v>
      </c>
      <c r="O101" s="1" t="s">
        <v>11</v>
      </c>
      <c r="P101" s="1"/>
      <c r="Q101" s="185">
        <v>20220214</v>
      </c>
      <c r="R101" s="196">
        <v>44606</v>
      </c>
      <c r="S101" s="197">
        <f t="shared" si="127"/>
        <v>7</v>
      </c>
      <c r="T101" s="66">
        <f t="shared" si="128"/>
        <v>1</v>
      </c>
      <c r="U101" s="65" t="s">
        <v>11</v>
      </c>
      <c r="V101" s="192">
        <v>21.6404</v>
      </c>
      <c r="W101" s="74" t="str">
        <f t="shared" si="150"/>
        <v/>
      </c>
      <c r="X101" s="70" t="str" cm="1">
        <f t="array" ref="X101">IF(U101="","",INDEX(STEP!$C:$C,MATCH('Position Control'!M101&amp;'Position Control'!P101,STEP!$A:$A&amp;STEP!$B:$B,0)))</f>
        <v/>
      </c>
      <c r="Y101" s="74" t="str">
        <f t="shared" si="129"/>
        <v/>
      </c>
      <c r="Z101" s="1">
        <v>8810</v>
      </c>
      <c r="AA101" s="112">
        <f>VLOOKUP(Z101,'WRK COMP'!$A$1:$E$17,5,FALSE)</f>
        <v>1.0169999999999999E-3</v>
      </c>
      <c r="AB101" s="76" t="s">
        <v>13</v>
      </c>
      <c r="AC101" s="68">
        <v>0</v>
      </c>
      <c r="AD101" s="68">
        <v>0</v>
      </c>
      <c r="AE101" s="68">
        <v>0</v>
      </c>
      <c r="AF101" s="68">
        <v>0</v>
      </c>
      <c r="AG101" s="68">
        <v>0</v>
      </c>
      <c r="AH101" s="68">
        <v>0</v>
      </c>
      <c r="AI101" s="68">
        <v>0</v>
      </c>
      <c r="AJ101" s="1" t="s">
        <v>14</v>
      </c>
      <c r="AK101" s="1" t="s">
        <v>15</v>
      </c>
      <c r="AL101" s="1" t="s">
        <v>16</v>
      </c>
      <c r="AM101" s="78">
        <f>IF(F101&gt;0.79,IF(ROUNDUP(IF(B101="FS",(V101*HRS!$B$9),(V101*HRS!$L$2))*2,-3)&gt;150000,150000,(ROUNDUP(IF(B101="FS",(V101*HRS!$B$9),(V101*HRS!$L$2))*2,-3))),0)</f>
        <v>91000</v>
      </c>
      <c r="AN101" s="188">
        <f t="shared" si="154"/>
        <v>45013</v>
      </c>
      <c r="AO101" s="77">
        <f>IF(L101="N",IF(B101="FS",ROUNDUP($V101*HRS!$B$9*'Position Control'!F101,0),ROUNDUP('Position Control'!$V101*HRS!$L$2*'Position Control'!F101,0)),IF('Position Control'!B101="FS",ROUNDUP(('Position Control'!V101*HRS!$B$9*'Position Control'!W101*'Position Control'!F101)+('Position Control'!X101*HRS!$B$9*'Position Control'!Y101*'Position Control'!F101),0),ROUNDUP(('Position Control'!V101*HRS!$L$2*'Position Control'!W101*'Position Control'!F101)+('Position Control'!X101*HRS!$L$2*'Position Control'!Y101*'Position Control'!F101),0)))*'Position Control'!H101</f>
        <v>45013</v>
      </c>
      <c r="AP101" s="77">
        <f t="shared" si="131"/>
        <v>0</v>
      </c>
      <c r="AQ101" s="77">
        <f t="shared" si="132"/>
        <v>0</v>
      </c>
      <c r="AR101" s="77">
        <f t="shared" si="133"/>
        <v>0</v>
      </c>
      <c r="AS101" s="77">
        <v>0</v>
      </c>
      <c r="AT101" s="79">
        <f t="shared" si="134"/>
        <v>0</v>
      </c>
      <c r="AU101" s="77">
        <f t="shared" si="135"/>
        <v>0</v>
      </c>
      <c r="AV101" s="77">
        <v>0</v>
      </c>
      <c r="AW101" s="77">
        <f t="shared" si="136"/>
        <v>0</v>
      </c>
      <c r="AX101" s="77">
        <f t="shared" si="137"/>
        <v>0</v>
      </c>
      <c r="AY101" s="77">
        <f t="shared" si="138"/>
        <v>0</v>
      </c>
      <c r="AZ101" s="77">
        <f t="shared" si="139"/>
        <v>0</v>
      </c>
      <c r="BA101" s="77">
        <f t="shared" si="140"/>
        <v>0</v>
      </c>
      <c r="BB101" s="77">
        <f t="shared" si="141"/>
        <v>0</v>
      </c>
      <c r="BC101" s="77">
        <f t="shared" si="152"/>
        <v>0</v>
      </c>
      <c r="BD101" s="77">
        <f t="shared" si="156"/>
        <v>0</v>
      </c>
      <c r="BE101" s="77">
        <v>0</v>
      </c>
      <c r="BF101" s="77">
        <f t="shared" si="142"/>
        <v>109.19999999999999</v>
      </c>
      <c r="BG101" s="77">
        <f>VLOOKUP($AJ101,BENE!$I$2:$N$9,6,FALSE)*'Position Control'!$H101</f>
        <v>389</v>
      </c>
      <c r="BH101" s="77">
        <f>VLOOKUP($AK101,BENE!$A$2:$F$19,6,FALSE)*'Position Control'!$H101</f>
        <v>6142</v>
      </c>
      <c r="BI101" s="77">
        <f>VLOOKUP($AK101,BENE!$A$2:$G$19,7,FALSE)*'Position Control'!$H101</f>
        <v>1000</v>
      </c>
      <c r="BJ101" s="77">
        <f>VLOOKUP($AL101,BENE!$P$2:$S$6,4,FALSE)*'Position Control'!$H101</f>
        <v>240</v>
      </c>
      <c r="BK101" s="77">
        <f>IF($F101&gt;HRS!$H$2,ROUNDUP(((($AN101+$BE101)*$BK$3)/12*9)+(($AN101+$BE101)*HRS!$B$10/12*3),0),0)*$H101</f>
        <v>7590</v>
      </c>
      <c r="BL101" s="80">
        <f t="shared" si="143"/>
        <v>46</v>
      </c>
      <c r="BM101" s="77">
        <f t="shared" si="144"/>
        <v>144</v>
      </c>
      <c r="BN101" s="77">
        <f t="shared" si="145"/>
        <v>653</v>
      </c>
      <c r="BO101" s="77">
        <f t="shared" si="146"/>
        <v>81</v>
      </c>
      <c r="BP101" s="77">
        <f t="shared" si="147"/>
        <v>0</v>
      </c>
      <c r="BQ101" s="77">
        <v>0</v>
      </c>
      <c r="BR101" s="80">
        <f t="shared" si="155"/>
        <v>61407.199999999997</v>
      </c>
    </row>
    <row r="102" spans="1:70" outlineLevel="1" x14ac:dyDescent="0.35">
      <c r="A102" s="1" t="s">
        <v>6</v>
      </c>
      <c r="B102" s="1" t="s">
        <v>7</v>
      </c>
      <c r="C102" s="1" t="s">
        <v>8</v>
      </c>
      <c r="D102" s="1" t="s">
        <v>71</v>
      </c>
      <c r="E102" s="1" t="s">
        <v>89</v>
      </c>
      <c r="F102" s="2">
        <v>1</v>
      </c>
      <c r="G102" s="66">
        <v>1</v>
      </c>
      <c r="H102" s="66">
        <v>1</v>
      </c>
      <c r="I102" s="1" t="s">
        <v>611</v>
      </c>
      <c r="J102" s="1" t="s">
        <v>612</v>
      </c>
      <c r="K102" s="1" t="s">
        <v>93</v>
      </c>
      <c r="L102" s="76" t="str">
        <f>IF(M102="","N",STEP!$J$22)</f>
        <v>N</v>
      </c>
      <c r="M102" s="1" t="s">
        <v>11</v>
      </c>
      <c r="N102" s="1" t="s">
        <v>11</v>
      </c>
      <c r="O102" s="1" t="s">
        <v>11</v>
      </c>
      <c r="P102" s="1"/>
      <c r="Q102" s="185">
        <v>20050922</v>
      </c>
      <c r="R102" s="196">
        <v>38617</v>
      </c>
      <c r="S102" s="197">
        <f t="shared" si="127"/>
        <v>204</v>
      </c>
      <c r="T102" s="66">
        <f t="shared" si="128"/>
        <v>18</v>
      </c>
      <c r="U102" s="65" t="s">
        <v>11</v>
      </c>
      <c r="V102" s="192">
        <v>29.0398</v>
      </c>
      <c r="W102" s="74" t="str">
        <f t="shared" si="150"/>
        <v/>
      </c>
      <c r="X102" s="70" t="str" cm="1">
        <f t="array" ref="X102">IF(U102="","",INDEX(STEP!$C:$C,MATCH('Position Control'!M102&amp;'Position Control'!P102,STEP!$A:$A&amp;STEP!$B:$B,0)))</f>
        <v/>
      </c>
      <c r="Y102" s="74" t="str">
        <f t="shared" si="129"/>
        <v/>
      </c>
      <c r="Z102" s="1">
        <v>8810</v>
      </c>
      <c r="AA102" s="112">
        <f>VLOOKUP(Z102,'WRK COMP'!$A$1:$E$17,5,FALSE)</f>
        <v>1.0169999999999999E-3</v>
      </c>
      <c r="AB102" s="76" t="s">
        <v>13</v>
      </c>
      <c r="AC102" s="68">
        <v>0</v>
      </c>
      <c r="AD102" s="68">
        <v>46.16</v>
      </c>
      <c r="AE102" s="68">
        <v>0</v>
      </c>
      <c r="AF102" s="68">
        <v>0</v>
      </c>
      <c r="AG102" s="68">
        <v>0</v>
      </c>
      <c r="AH102" s="68">
        <v>0</v>
      </c>
      <c r="AI102" s="68">
        <v>0</v>
      </c>
      <c r="AJ102" s="1" t="s">
        <v>14</v>
      </c>
      <c r="AK102" s="1" t="s">
        <v>24</v>
      </c>
      <c r="AL102" s="10" t="s">
        <v>49</v>
      </c>
      <c r="AM102" s="78">
        <f>IF(F102&gt;0.79,IF(ROUNDUP(IF(B102="FS",(V102*HRS!$B$9),(V102*HRS!$L$2))*2,-3)&gt;150000,150000,(ROUNDUP(IF(B102="FS",(V102*HRS!$B$9),(V102*HRS!$L$2))*2,-3))),0)</f>
        <v>121000</v>
      </c>
      <c r="AN102" s="188">
        <f t="shared" si="154"/>
        <v>62804</v>
      </c>
      <c r="AO102" s="77">
        <f>IF(L102="N",IF(B102="FS",ROUNDUP($V102*HRS!$B$9*'Position Control'!F102,0),ROUNDUP('Position Control'!$V102*HRS!$L$2*'Position Control'!F102,0)),IF('Position Control'!B102="FS",ROUNDUP(('Position Control'!V102*HRS!$B$9*'Position Control'!W102*'Position Control'!F102)+('Position Control'!X102*HRS!$B$9*'Position Control'!Y102*'Position Control'!F102),0),ROUNDUP(('Position Control'!V102*HRS!$L$2*'Position Control'!W102*'Position Control'!F102)+('Position Control'!X102*HRS!$L$2*'Position Control'!Y102*'Position Control'!F102),0)))*'Position Control'!H102</f>
        <v>60403</v>
      </c>
      <c r="AP102" s="77">
        <f t="shared" si="131"/>
        <v>0</v>
      </c>
      <c r="AQ102" s="77">
        <f t="shared" si="132"/>
        <v>2401</v>
      </c>
      <c r="AR102" s="77">
        <f t="shared" si="133"/>
        <v>0</v>
      </c>
      <c r="AS102" s="77">
        <v>0</v>
      </c>
      <c r="AT102" s="79">
        <f t="shared" si="134"/>
        <v>0</v>
      </c>
      <c r="AU102" s="77">
        <f t="shared" si="135"/>
        <v>0</v>
      </c>
      <c r="AV102" s="77">
        <v>0</v>
      </c>
      <c r="AW102" s="77">
        <f t="shared" si="136"/>
        <v>0</v>
      </c>
      <c r="AX102" s="77">
        <f t="shared" si="137"/>
        <v>0</v>
      </c>
      <c r="AY102" s="77">
        <f t="shared" si="138"/>
        <v>0</v>
      </c>
      <c r="AZ102" s="77">
        <f t="shared" si="139"/>
        <v>0</v>
      </c>
      <c r="BA102" s="77">
        <f t="shared" si="140"/>
        <v>0</v>
      </c>
      <c r="BB102" s="77">
        <f t="shared" si="141"/>
        <v>0</v>
      </c>
      <c r="BC102" s="77">
        <f t="shared" si="152"/>
        <v>0</v>
      </c>
      <c r="BD102" s="77">
        <f t="shared" si="156"/>
        <v>1020</v>
      </c>
      <c r="BE102" s="77">
        <v>0</v>
      </c>
      <c r="BF102" s="77">
        <f t="shared" si="142"/>
        <v>145.20000000000002</v>
      </c>
      <c r="BG102" s="77">
        <f>VLOOKUP($AJ102,BENE!$I$2:$N$9,6,FALSE)*'Position Control'!$H102</f>
        <v>389</v>
      </c>
      <c r="BH102" s="77">
        <f>VLOOKUP($AK102,BENE!$A$2:$F$19,6,FALSE)*'Position Control'!$H102</f>
        <v>7234</v>
      </c>
      <c r="BI102" s="77">
        <f>VLOOKUP($AK102,BENE!$A$2:$G$19,7,FALSE)*'Position Control'!$H102</f>
        <v>0</v>
      </c>
      <c r="BJ102" s="77">
        <f>VLOOKUP($AL102,BENE!$P$2:$S$6,4,FALSE)*'Position Control'!$H102</f>
        <v>0</v>
      </c>
      <c r="BK102" s="77">
        <f>IF($F102&gt;HRS!$H$2,ROUNDUP(((($AN102+$BE102)*$BK$3)/12*9)+(($AN102+$BE102)*HRS!$B$10/12*3),0),0)*$H102</f>
        <v>10589</v>
      </c>
      <c r="BL102" s="80">
        <f t="shared" si="143"/>
        <v>64</v>
      </c>
      <c r="BM102" s="77">
        <f t="shared" si="144"/>
        <v>144</v>
      </c>
      <c r="BN102" s="77">
        <f t="shared" si="145"/>
        <v>911</v>
      </c>
      <c r="BO102" s="77">
        <f t="shared" si="146"/>
        <v>113</v>
      </c>
      <c r="BP102" s="77">
        <f t="shared" si="147"/>
        <v>1500</v>
      </c>
      <c r="BQ102" s="77">
        <v>0</v>
      </c>
      <c r="BR102" s="80">
        <f t="shared" si="155"/>
        <v>84913.2</v>
      </c>
    </row>
    <row r="103" spans="1:70" outlineLevel="1" x14ac:dyDescent="0.35">
      <c r="A103" s="1" t="s">
        <v>6</v>
      </c>
      <c r="B103" s="1" t="s">
        <v>7</v>
      </c>
      <c r="C103" s="1" t="s">
        <v>8</v>
      </c>
      <c r="D103" s="1" t="s">
        <v>71</v>
      </c>
      <c r="E103" s="1" t="s">
        <v>89</v>
      </c>
      <c r="F103" s="2">
        <v>1</v>
      </c>
      <c r="G103" s="66">
        <v>1</v>
      </c>
      <c r="H103" s="66">
        <v>1</v>
      </c>
      <c r="I103" s="1" t="s">
        <v>611</v>
      </c>
      <c r="J103" s="1" t="s">
        <v>612</v>
      </c>
      <c r="K103" s="1" t="s">
        <v>120</v>
      </c>
      <c r="L103" s="76" t="str">
        <f>IF(M103="","N",STEP!$J$22)</f>
        <v>N</v>
      </c>
      <c r="M103" s="1" t="s">
        <v>11</v>
      </c>
      <c r="N103" s="1" t="s">
        <v>11</v>
      </c>
      <c r="O103" s="1" t="s">
        <v>11</v>
      </c>
      <c r="P103" s="1"/>
      <c r="Q103" s="185">
        <v>20220110</v>
      </c>
      <c r="R103" s="196">
        <v>44571</v>
      </c>
      <c r="S103" s="197">
        <f t="shared" si="127"/>
        <v>8</v>
      </c>
      <c r="T103" s="66">
        <f t="shared" si="128"/>
        <v>1</v>
      </c>
      <c r="U103" s="65" t="s">
        <v>11</v>
      </c>
      <c r="V103" s="192">
        <v>21.6404</v>
      </c>
      <c r="W103" s="74" t="str">
        <f t="shared" si="150"/>
        <v/>
      </c>
      <c r="X103" s="70" t="str" cm="1">
        <f t="array" ref="X103">IF(U103="","",INDEX(STEP!$C:$C,MATCH('Position Control'!M103&amp;'Position Control'!P103,STEP!$A:$A&amp;STEP!$B:$B,0)))</f>
        <v/>
      </c>
      <c r="Y103" s="74" t="str">
        <f t="shared" si="129"/>
        <v/>
      </c>
      <c r="Z103" s="1">
        <v>8810</v>
      </c>
      <c r="AA103" s="112">
        <f>VLOOKUP(Z103,'WRK COMP'!$A$1:$E$17,5,FALSE)</f>
        <v>1.0169999999999999E-3</v>
      </c>
      <c r="AB103" s="76" t="s">
        <v>13</v>
      </c>
      <c r="AC103" s="68">
        <v>0</v>
      </c>
      <c r="AD103" s="68">
        <v>0</v>
      </c>
      <c r="AE103" s="68">
        <v>0</v>
      </c>
      <c r="AF103" s="68">
        <v>0</v>
      </c>
      <c r="AG103" s="68">
        <v>0</v>
      </c>
      <c r="AH103" s="68">
        <v>0</v>
      </c>
      <c r="AI103" s="68">
        <v>0</v>
      </c>
      <c r="AJ103" s="1" t="s">
        <v>14</v>
      </c>
      <c r="AK103" s="1" t="s">
        <v>43</v>
      </c>
      <c r="AL103" s="10" t="s">
        <v>49</v>
      </c>
      <c r="AM103" s="78">
        <f>IF(F103&gt;0.79,IF(ROUNDUP(IF(B103="FS",(V103*HRS!$B$9),(V103*HRS!$L$2))*2,-3)&gt;150000,150000,(ROUNDUP(IF(B103="FS",(V103*HRS!$B$9),(V103*HRS!$L$2))*2,-3))),0)</f>
        <v>91000</v>
      </c>
      <c r="AN103" s="188">
        <f t="shared" si="154"/>
        <v>45013</v>
      </c>
      <c r="AO103" s="77">
        <f>IF(L103="N",IF(B103="FS",ROUNDUP($V103*HRS!$B$9*'Position Control'!F103,0),ROUNDUP('Position Control'!$V103*HRS!$L$2*'Position Control'!F103,0)),IF('Position Control'!B103="FS",ROUNDUP(('Position Control'!V103*HRS!$B$9*'Position Control'!W103*'Position Control'!F103)+('Position Control'!X103*HRS!$B$9*'Position Control'!Y103*'Position Control'!F103),0),ROUNDUP(('Position Control'!V103*HRS!$L$2*'Position Control'!W103*'Position Control'!F103)+('Position Control'!X103*HRS!$L$2*'Position Control'!Y103*'Position Control'!F103),0)))*'Position Control'!H103</f>
        <v>45013</v>
      </c>
      <c r="AP103" s="77">
        <f t="shared" si="131"/>
        <v>0</v>
      </c>
      <c r="AQ103" s="77">
        <f t="shared" si="132"/>
        <v>0</v>
      </c>
      <c r="AR103" s="77">
        <f t="shared" si="133"/>
        <v>0</v>
      </c>
      <c r="AS103" s="77">
        <v>0</v>
      </c>
      <c r="AT103" s="79">
        <f t="shared" si="134"/>
        <v>0</v>
      </c>
      <c r="AU103" s="77">
        <f t="shared" si="135"/>
        <v>0</v>
      </c>
      <c r="AV103" s="77">
        <v>0</v>
      </c>
      <c r="AW103" s="77">
        <f t="shared" si="136"/>
        <v>0</v>
      </c>
      <c r="AX103" s="77">
        <f t="shared" si="137"/>
        <v>0</v>
      </c>
      <c r="AY103" s="77">
        <f t="shared" si="138"/>
        <v>0</v>
      </c>
      <c r="AZ103" s="77">
        <f t="shared" si="139"/>
        <v>0</v>
      </c>
      <c r="BA103" s="77">
        <f t="shared" si="140"/>
        <v>0</v>
      </c>
      <c r="BB103" s="77">
        <f t="shared" si="141"/>
        <v>0</v>
      </c>
      <c r="BC103" s="77">
        <f t="shared" si="152"/>
        <v>0</v>
      </c>
      <c r="BD103" s="77">
        <f t="shared" si="156"/>
        <v>0</v>
      </c>
      <c r="BE103" s="77">
        <v>0</v>
      </c>
      <c r="BF103" s="77">
        <f t="shared" si="142"/>
        <v>109.19999999999999</v>
      </c>
      <c r="BG103" s="77">
        <f>VLOOKUP($AJ103,BENE!$I$2:$N$9,6,FALSE)*'Position Control'!$H103</f>
        <v>389</v>
      </c>
      <c r="BH103" s="77">
        <f>VLOOKUP($AK103,BENE!$A$2:$F$19,6,FALSE)*'Position Control'!$H103</f>
        <v>6870</v>
      </c>
      <c r="BI103" s="77">
        <f>VLOOKUP($AK103,BENE!$A$2:$G$19,7,FALSE)*'Position Control'!$H103</f>
        <v>0</v>
      </c>
      <c r="BJ103" s="77">
        <f>VLOOKUP($AL103,BENE!$P$2:$S$6,4,FALSE)*'Position Control'!$H103</f>
        <v>0</v>
      </c>
      <c r="BK103" s="77">
        <f>IF($F103&gt;HRS!$H$2,ROUNDUP(((($AN103+$BE103)*$BK$3)/12*9)+(($AN103+$BE103)*HRS!$B$10/12*3),0),0)*$H103</f>
        <v>7590</v>
      </c>
      <c r="BL103" s="80">
        <f t="shared" si="143"/>
        <v>46</v>
      </c>
      <c r="BM103" s="77">
        <f t="shared" si="144"/>
        <v>144</v>
      </c>
      <c r="BN103" s="77">
        <f t="shared" si="145"/>
        <v>653</v>
      </c>
      <c r="BO103" s="77">
        <f t="shared" si="146"/>
        <v>81</v>
      </c>
      <c r="BP103" s="77">
        <f t="shared" si="147"/>
        <v>0</v>
      </c>
      <c r="BQ103" s="77">
        <v>0</v>
      </c>
      <c r="BR103" s="80">
        <f t="shared" si="155"/>
        <v>60895.199999999997</v>
      </c>
    </row>
    <row r="104" spans="1:70" outlineLevel="1" x14ac:dyDescent="0.35">
      <c r="A104" s="1" t="s">
        <v>6</v>
      </c>
      <c r="B104" s="1" t="s">
        <v>7</v>
      </c>
      <c r="C104" s="1" t="s">
        <v>8</v>
      </c>
      <c r="D104" s="1" t="s">
        <v>71</v>
      </c>
      <c r="E104" s="1" t="s">
        <v>89</v>
      </c>
      <c r="F104" s="2">
        <v>1</v>
      </c>
      <c r="G104" s="66">
        <v>1</v>
      </c>
      <c r="H104" s="66">
        <v>1</v>
      </c>
      <c r="I104" s="1" t="s">
        <v>611</v>
      </c>
      <c r="J104" s="1" t="s">
        <v>612</v>
      </c>
      <c r="K104" s="1" t="s">
        <v>116</v>
      </c>
      <c r="L104" s="76" t="str">
        <f>IF(M104="","N",STEP!$J$22)</f>
        <v>N</v>
      </c>
      <c r="M104" s="1" t="s">
        <v>11</v>
      </c>
      <c r="N104" s="1" t="s">
        <v>11</v>
      </c>
      <c r="O104" s="1" t="s">
        <v>11</v>
      </c>
      <c r="P104" s="1"/>
      <c r="Q104" s="185">
        <v>20100414</v>
      </c>
      <c r="R104" s="196">
        <v>40282</v>
      </c>
      <c r="S104" s="197">
        <f t="shared" si="127"/>
        <v>149</v>
      </c>
      <c r="T104" s="66">
        <f t="shared" si="128"/>
        <v>13</v>
      </c>
      <c r="U104" s="65" t="s">
        <v>11</v>
      </c>
      <c r="V104" s="192">
        <v>26.358899999999998</v>
      </c>
      <c r="W104" s="74" t="str">
        <f t="shared" si="150"/>
        <v/>
      </c>
      <c r="X104" s="70" t="str" cm="1">
        <f t="array" ref="X104">IF(U104="","",INDEX(STEP!$C:$C,MATCH('Position Control'!M104&amp;'Position Control'!P104,STEP!$A:$A&amp;STEP!$B:$B,0)))</f>
        <v/>
      </c>
      <c r="Y104" s="74" t="str">
        <f t="shared" si="129"/>
        <v/>
      </c>
      <c r="Z104" s="1">
        <v>8810</v>
      </c>
      <c r="AA104" s="112">
        <f>VLOOKUP(Z104,'WRK COMP'!$A$1:$E$17,5,FALSE)</f>
        <v>1.0169999999999999E-3</v>
      </c>
      <c r="AB104" s="76" t="s">
        <v>13</v>
      </c>
      <c r="AC104" s="68">
        <v>0</v>
      </c>
      <c r="AD104" s="68">
        <v>17.309999999999999</v>
      </c>
      <c r="AE104" s="68">
        <v>11.54</v>
      </c>
      <c r="AF104" s="68">
        <v>0</v>
      </c>
      <c r="AG104" s="68">
        <v>0</v>
      </c>
      <c r="AH104" s="68">
        <v>0</v>
      </c>
      <c r="AI104" s="68">
        <v>0</v>
      </c>
      <c r="AJ104" s="1" t="s">
        <v>28</v>
      </c>
      <c r="AK104" s="1" t="s">
        <v>15</v>
      </c>
      <c r="AL104" s="1" t="s">
        <v>16</v>
      </c>
      <c r="AM104" s="78">
        <f>IF(F104&gt;0.79,IF(ROUNDUP(IF(B104="FS",(V104*HRS!$B$9),(V104*HRS!$L$2))*2,-3)&gt;150000,150000,(ROUNDUP(IF(B104="FS",(V104*HRS!$B$9),(V104*HRS!$L$2))*2,-3))),0)</f>
        <v>110000</v>
      </c>
      <c r="AN104" s="188">
        <f t="shared" si="154"/>
        <v>56329</v>
      </c>
      <c r="AO104" s="77">
        <f>IF(L104="N",IF(B104="FS",ROUNDUP($V104*HRS!$B$9*'Position Control'!F104,0),ROUNDUP('Position Control'!$V104*HRS!$L$2*'Position Control'!F104,0)),IF('Position Control'!B104="FS",ROUNDUP(('Position Control'!V104*HRS!$B$9*'Position Control'!W104*'Position Control'!F104)+('Position Control'!X104*HRS!$B$9*'Position Control'!Y104*'Position Control'!F104),0),ROUNDUP(('Position Control'!V104*HRS!$L$2*'Position Control'!W104*'Position Control'!F104)+('Position Control'!X104*HRS!$L$2*'Position Control'!Y104*'Position Control'!F104),0)))*'Position Control'!H104</f>
        <v>54827</v>
      </c>
      <c r="AP104" s="77">
        <f t="shared" si="131"/>
        <v>0</v>
      </c>
      <c r="AQ104" s="77">
        <f t="shared" si="132"/>
        <v>901</v>
      </c>
      <c r="AR104" s="77">
        <f t="shared" si="133"/>
        <v>0</v>
      </c>
      <c r="AS104" s="77">
        <v>0</v>
      </c>
      <c r="AT104" s="79">
        <f t="shared" si="134"/>
        <v>0</v>
      </c>
      <c r="AU104" s="77">
        <f t="shared" si="135"/>
        <v>0</v>
      </c>
      <c r="AV104" s="77">
        <v>0</v>
      </c>
      <c r="AW104" s="77">
        <f t="shared" si="136"/>
        <v>601</v>
      </c>
      <c r="AX104" s="77">
        <f t="shared" si="137"/>
        <v>0</v>
      </c>
      <c r="AY104" s="77">
        <f t="shared" si="138"/>
        <v>0</v>
      </c>
      <c r="AZ104" s="77">
        <f t="shared" si="139"/>
        <v>0</v>
      </c>
      <c r="BA104" s="77">
        <f t="shared" si="140"/>
        <v>0</v>
      </c>
      <c r="BB104" s="77">
        <f t="shared" si="141"/>
        <v>0</v>
      </c>
      <c r="BC104" s="77">
        <f t="shared" si="152"/>
        <v>0</v>
      </c>
      <c r="BD104" s="77">
        <f t="shared" si="156"/>
        <v>745</v>
      </c>
      <c r="BE104" s="77">
        <v>0</v>
      </c>
      <c r="BF104" s="77">
        <f t="shared" si="142"/>
        <v>132</v>
      </c>
      <c r="BG104" s="77">
        <f>VLOOKUP($AJ104,BENE!$I$2:$N$9,6,FALSE)*'Position Control'!$H104</f>
        <v>154</v>
      </c>
      <c r="BH104" s="77">
        <f>VLOOKUP($AK104,BENE!$A$2:$F$19,6,FALSE)*'Position Control'!$H104</f>
        <v>6142</v>
      </c>
      <c r="BI104" s="77">
        <f>VLOOKUP($AK104,BENE!$A$2:$G$19,7,FALSE)*'Position Control'!$H104</f>
        <v>1000</v>
      </c>
      <c r="BJ104" s="77">
        <f>VLOOKUP($AL104,BENE!$P$2:$S$6,4,FALSE)*'Position Control'!$H104</f>
        <v>240</v>
      </c>
      <c r="BK104" s="77">
        <f>IF($F104&gt;HRS!$H$2,ROUNDUP(((($AN104+$BE104)*$BK$3)/12*9)+(($AN104+$BE104)*HRS!$B$10/12*3),0),0)*$H104</f>
        <v>9498</v>
      </c>
      <c r="BL104" s="80">
        <f t="shared" si="143"/>
        <v>58</v>
      </c>
      <c r="BM104" s="77">
        <f t="shared" si="144"/>
        <v>144</v>
      </c>
      <c r="BN104" s="77">
        <f t="shared" si="145"/>
        <v>817</v>
      </c>
      <c r="BO104" s="77">
        <f t="shared" si="146"/>
        <v>101</v>
      </c>
      <c r="BP104" s="77">
        <f t="shared" si="147"/>
        <v>1000</v>
      </c>
      <c r="BQ104" s="77">
        <v>0</v>
      </c>
      <c r="BR104" s="80">
        <f t="shared" si="155"/>
        <v>76360</v>
      </c>
    </row>
    <row r="105" spans="1:70" outlineLevel="1" x14ac:dyDescent="0.35">
      <c r="A105" s="1" t="s">
        <v>6</v>
      </c>
      <c r="B105" s="1" t="s">
        <v>7</v>
      </c>
      <c r="C105" s="1" t="s">
        <v>8</v>
      </c>
      <c r="D105" s="1" t="s">
        <v>71</v>
      </c>
      <c r="E105" s="1" t="s">
        <v>89</v>
      </c>
      <c r="F105" s="2">
        <v>1</v>
      </c>
      <c r="G105" s="66">
        <v>1</v>
      </c>
      <c r="H105" s="66">
        <v>1</v>
      </c>
      <c r="I105" s="1" t="s">
        <v>411</v>
      </c>
      <c r="J105" s="1" t="s">
        <v>408</v>
      </c>
      <c r="K105" s="1" t="s">
        <v>118</v>
      </c>
      <c r="L105" s="76" t="str">
        <f>IF(M105="","N",STEP!$J$22)</f>
        <v>N</v>
      </c>
      <c r="M105" s="1" t="s">
        <v>11</v>
      </c>
      <c r="N105" s="1" t="s">
        <v>11</v>
      </c>
      <c r="O105" s="1" t="s">
        <v>11</v>
      </c>
      <c r="P105" s="1"/>
      <c r="Q105" s="185">
        <v>20221002</v>
      </c>
      <c r="R105" s="196">
        <v>44836</v>
      </c>
      <c r="S105" s="197">
        <f t="shared" si="127"/>
        <v>0</v>
      </c>
      <c r="T105" s="66">
        <f t="shared" si="128"/>
        <v>0</v>
      </c>
      <c r="U105" s="65" t="s">
        <v>11</v>
      </c>
      <c r="V105" s="192">
        <v>21.6404</v>
      </c>
      <c r="W105" s="74" t="str">
        <f t="shared" si="150"/>
        <v/>
      </c>
      <c r="X105" s="70" t="str" cm="1">
        <f t="array" ref="X105">IF(U105="","",INDEX(STEP!$C:$C,MATCH('Position Control'!M105&amp;'Position Control'!P105,STEP!$A:$A&amp;STEP!$B:$B,0)))</f>
        <v/>
      </c>
      <c r="Y105" s="74" t="str">
        <f t="shared" si="129"/>
        <v/>
      </c>
      <c r="Z105" s="1">
        <v>8810</v>
      </c>
      <c r="AA105" s="112">
        <f>VLOOKUP(Z105,'WRK COMP'!$A$1:$E$17,5,FALSE)</f>
        <v>1.0169999999999999E-3</v>
      </c>
      <c r="AB105" s="76" t="s">
        <v>13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1" t="s">
        <v>14</v>
      </c>
      <c r="AK105" s="1" t="s">
        <v>15</v>
      </c>
      <c r="AL105" s="1" t="s">
        <v>16</v>
      </c>
      <c r="AM105" s="78">
        <f>IF(F105&gt;0.79,IF(ROUNDUP(IF(B105="FS",(V105*HRS!$B$9),(V105*HRS!$L$2))*2,-3)&gt;150000,150000,(ROUNDUP(IF(B105="FS",(V105*HRS!$B$9),(V105*HRS!$L$2))*2,-3))),0)</f>
        <v>91000</v>
      </c>
      <c r="AN105" s="188">
        <f t="shared" si="154"/>
        <v>45013</v>
      </c>
      <c r="AO105" s="77">
        <f>IF(L105="N",IF(B105="FS",ROUNDUP($V105*HRS!$B$9*'Position Control'!F105,0),ROUNDUP('Position Control'!$V105*HRS!$L$2*'Position Control'!F105,0)),IF('Position Control'!B105="FS",ROUNDUP(('Position Control'!V105*HRS!$B$9*'Position Control'!W105*'Position Control'!F105)+('Position Control'!X105*HRS!$B$9*'Position Control'!Y105*'Position Control'!F105),0),ROUNDUP(('Position Control'!V105*HRS!$L$2*'Position Control'!W105*'Position Control'!F105)+('Position Control'!X105*HRS!$L$2*'Position Control'!Y105*'Position Control'!F105),0)))*'Position Control'!H105</f>
        <v>45013</v>
      </c>
      <c r="AP105" s="77">
        <f t="shared" si="131"/>
        <v>0</v>
      </c>
      <c r="AQ105" s="77">
        <f t="shared" si="132"/>
        <v>0</v>
      </c>
      <c r="AR105" s="77">
        <f t="shared" si="133"/>
        <v>0</v>
      </c>
      <c r="AS105" s="77">
        <v>0</v>
      </c>
      <c r="AT105" s="79">
        <f t="shared" si="134"/>
        <v>0</v>
      </c>
      <c r="AU105" s="77">
        <f t="shared" si="135"/>
        <v>0</v>
      </c>
      <c r="AV105" s="77">
        <v>0</v>
      </c>
      <c r="AW105" s="77">
        <f t="shared" si="136"/>
        <v>0</v>
      </c>
      <c r="AX105" s="77">
        <f t="shared" si="137"/>
        <v>0</v>
      </c>
      <c r="AY105" s="77">
        <f t="shared" si="138"/>
        <v>0</v>
      </c>
      <c r="AZ105" s="77">
        <f t="shared" si="139"/>
        <v>0</v>
      </c>
      <c r="BA105" s="77">
        <f t="shared" si="140"/>
        <v>0</v>
      </c>
      <c r="BB105" s="77">
        <f t="shared" si="141"/>
        <v>0</v>
      </c>
      <c r="BC105" s="77">
        <f t="shared" si="152"/>
        <v>0</v>
      </c>
      <c r="BD105" s="77">
        <f t="shared" si="156"/>
        <v>0</v>
      </c>
      <c r="BE105" s="77">
        <v>0</v>
      </c>
      <c r="BF105" s="77">
        <f t="shared" si="142"/>
        <v>109.19999999999999</v>
      </c>
      <c r="BG105" s="77">
        <f>VLOOKUP($AJ105,BENE!$I$2:$N$9,6,FALSE)*'Position Control'!$H105</f>
        <v>389</v>
      </c>
      <c r="BH105" s="77">
        <f>VLOOKUP($AK105,BENE!$A$2:$F$19,6,FALSE)*'Position Control'!$H105</f>
        <v>6142</v>
      </c>
      <c r="BI105" s="77">
        <f>VLOOKUP($AK105,BENE!$A$2:$G$19,7,FALSE)*'Position Control'!$H105</f>
        <v>1000</v>
      </c>
      <c r="BJ105" s="77">
        <f>VLOOKUP($AL105,BENE!$P$2:$S$6,4,FALSE)*'Position Control'!$H105</f>
        <v>240</v>
      </c>
      <c r="BK105" s="77">
        <f>IF($F105&gt;HRS!$H$2,ROUNDUP(((($AN105+$BE105)*$BK$3)/12*9)+(($AN105+$BE105)*HRS!$B$10/12*3),0),0)*$H105</f>
        <v>7590</v>
      </c>
      <c r="BL105" s="80">
        <f t="shared" si="143"/>
        <v>46</v>
      </c>
      <c r="BM105" s="77">
        <f t="shared" si="144"/>
        <v>144</v>
      </c>
      <c r="BN105" s="77">
        <f t="shared" si="145"/>
        <v>653</v>
      </c>
      <c r="BO105" s="77">
        <f t="shared" si="146"/>
        <v>81</v>
      </c>
      <c r="BP105" s="77">
        <f t="shared" si="147"/>
        <v>0</v>
      </c>
      <c r="BQ105" s="77">
        <v>0</v>
      </c>
      <c r="BR105" s="80">
        <f t="shared" si="155"/>
        <v>61407.199999999997</v>
      </c>
    </row>
    <row r="106" spans="1:70" outlineLevel="1" x14ac:dyDescent="0.35">
      <c r="A106" s="1" t="s">
        <v>6</v>
      </c>
      <c r="B106" s="1" t="s">
        <v>7</v>
      </c>
      <c r="C106" s="1" t="s">
        <v>8</v>
      </c>
      <c r="D106" s="1" t="s">
        <v>71</v>
      </c>
      <c r="E106" s="1" t="s">
        <v>89</v>
      </c>
      <c r="F106" s="2">
        <v>1</v>
      </c>
      <c r="G106" s="66">
        <v>1</v>
      </c>
      <c r="H106" s="66">
        <v>1</v>
      </c>
      <c r="I106" s="1" t="s">
        <v>411</v>
      </c>
      <c r="J106" s="1" t="s">
        <v>408</v>
      </c>
      <c r="K106" s="1" t="s">
        <v>127</v>
      </c>
      <c r="L106" s="76" t="str">
        <f>IF(M106="","N",STEP!$J$22)</f>
        <v>N</v>
      </c>
      <c r="M106" s="1"/>
      <c r="N106" s="1"/>
      <c r="O106" s="1"/>
      <c r="P106" s="1"/>
      <c r="Q106" s="185">
        <v>20221002</v>
      </c>
      <c r="R106" s="196">
        <v>44836</v>
      </c>
      <c r="S106" s="197">
        <f t="shared" si="127"/>
        <v>0</v>
      </c>
      <c r="T106" s="66">
        <f t="shared" si="128"/>
        <v>0</v>
      </c>
      <c r="U106" s="65"/>
      <c r="V106" s="192">
        <v>21.6404</v>
      </c>
      <c r="W106" s="74"/>
      <c r="X106" s="70"/>
      <c r="Y106" s="74"/>
      <c r="Z106" s="1">
        <v>8810</v>
      </c>
      <c r="AA106" s="112">
        <f>VLOOKUP(Z106,'WRK COMP'!$A$1:$E$17,5,FALSE)</f>
        <v>1.0169999999999999E-3</v>
      </c>
      <c r="AB106" s="76" t="s">
        <v>13</v>
      </c>
      <c r="AC106" s="68">
        <v>0</v>
      </c>
      <c r="AD106" s="68">
        <v>0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1" t="s">
        <v>14</v>
      </c>
      <c r="AK106" s="1" t="s">
        <v>15</v>
      </c>
      <c r="AL106" s="1" t="s">
        <v>16</v>
      </c>
      <c r="AM106" s="78">
        <f>IF(F106&gt;0.79,IF(ROUNDUP(IF(B106="FS",(V106*HRS!$B$9),(V106*HRS!$L$2))*2,-3)&gt;150000,150000,(ROUNDUP(IF(B106="FS",(V106*HRS!$B$9),(V106*HRS!$L$2))*2,-3))),0)</f>
        <v>91000</v>
      </c>
      <c r="AN106" s="188">
        <f t="shared" si="154"/>
        <v>45013</v>
      </c>
      <c r="AO106" s="77">
        <f>IF(L106="N",IF(B106="FS",ROUNDUP($V106*HRS!$B$9*'Position Control'!F106,0),ROUNDUP('Position Control'!$V106*HRS!$L$2*'Position Control'!F106,0)),IF('Position Control'!B106="FS",ROUNDUP(('Position Control'!V106*HRS!$B$9*'Position Control'!W106*'Position Control'!F106)+('Position Control'!X106*HRS!$B$9*'Position Control'!Y106*'Position Control'!F106),0),ROUNDUP(('Position Control'!V106*HRS!$L$2*'Position Control'!W106*'Position Control'!F106)+('Position Control'!X106*HRS!$L$2*'Position Control'!Y106*'Position Control'!F106),0)))*'Position Control'!H106</f>
        <v>45013</v>
      </c>
      <c r="AP106" s="77">
        <f t="shared" si="131"/>
        <v>0</v>
      </c>
      <c r="AQ106" s="77">
        <f t="shared" si="132"/>
        <v>0</v>
      </c>
      <c r="AR106" s="77">
        <f t="shared" si="133"/>
        <v>0</v>
      </c>
      <c r="AS106" s="77">
        <v>0</v>
      </c>
      <c r="AT106" s="79">
        <f t="shared" si="134"/>
        <v>0</v>
      </c>
      <c r="AU106" s="77">
        <f t="shared" si="135"/>
        <v>0</v>
      </c>
      <c r="AV106" s="77">
        <v>0</v>
      </c>
      <c r="AW106" s="77">
        <f t="shared" si="136"/>
        <v>0</v>
      </c>
      <c r="AX106" s="77">
        <f t="shared" si="137"/>
        <v>0</v>
      </c>
      <c r="AY106" s="77">
        <f t="shared" si="138"/>
        <v>0</v>
      </c>
      <c r="AZ106" s="77">
        <f t="shared" si="139"/>
        <v>0</v>
      </c>
      <c r="BA106" s="77">
        <f t="shared" si="140"/>
        <v>0</v>
      </c>
      <c r="BB106" s="77">
        <f t="shared" si="141"/>
        <v>0</v>
      </c>
      <c r="BC106" s="77">
        <f t="shared" ref="BC106" si="157">SUM(AX106:BB106)</f>
        <v>0</v>
      </c>
      <c r="BD106" s="77">
        <f t="shared" si="156"/>
        <v>0</v>
      </c>
      <c r="BE106" s="77">
        <v>0</v>
      </c>
      <c r="BF106" s="77">
        <f t="shared" si="142"/>
        <v>109.19999999999999</v>
      </c>
      <c r="BG106" s="77">
        <f>VLOOKUP($AJ106,BENE!$I$2:$N$9,6,FALSE)*'Position Control'!$H106</f>
        <v>389</v>
      </c>
      <c r="BH106" s="77">
        <f>VLOOKUP($AK106,BENE!$A$2:$F$19,6,FALSE)*'Position Control'!$H106</f>
        <v>6142</v>
      </c>
      <c r="BI106" s="77">
        <f>VLOOKUP($AK106,BENE!$A$2:$G$19,7,FALSE)*'Position Control'!$H106</f>
        <v>1000</v>
      </c>
      <c r="BJ106" s="77">
        <f>VLOOKUP($AL106,BENE!$P$2:$S$6,4,FALSE)*'Position Control'!$H106</f>
        <v>240</v>
      </c>
      <c r="BK106" s="77">
        <f>IF($F106&gt;HRS!$H$2,ROUNDUP(((($AN106+$BE106)*$BK$3)/12*9)+(($AN106+$BE106)*HRS!$B$10/12*3),0),0)*$H106</f>
        <v>7590</v>
      </c>
      <c r="BL106" s="80">
        <f t="shared" si="143"/>
        <v>46</v>
      </c>
      <c r="BM106" s="77">
        <f t="shared" si="144"/>
        <v>144</v>
      </c>
      <c r="BN106" s="77">
        <f t="shared" si="145"/>
        <v>653</v>
      </c>
      <c r="BO106" s="77">
        <f t="shared" si="146"/>
        <v>81</v>
      </c>
      <c r="BP106" s="77">
        <f t="shared" si="147"/>
        <v>0</v>
      </c>
      <c r="BQ106" s="77">
        <v>0</v>
      </c>
      <c r="BR106" s="80">
        <f t="shared" si="155"/>
        <v>61407.199999999997</v>
      </c>
    </row>
    <row r="107" spans="1:70" outlineLevel="1" x14ac:dyDescent="0.35">
      <c r="A107" s="1" t="s">
        <v>6</v>
      </c>
      <c r="B107" s="1" t="s">
        <v>7</v>
      </c>
      <c r="C107" s="1" t="s">
        <v>8</v>
      </c>
      <c r="D107" s="1" t="s">
        <v>71</v>
      </c>
      <c r="E107" s="1" t="s">
        <v>89</v>
      </c>
      <c r="F107" s="2">
        <v>1</v>
      </c>
      <c r="G107" s="66">
        <v>1</v>
      </c>
      <c r="H107" s="66">
        <v>1</v>
      </c>
      <c r="I107" s="1" t="s">
        <v>611</v>
      </c>
      <c r="J107" s="1" t="s">
        <v>612</v>
      </c>
      <c r="K107" s="1" t="s">
        <v>92</v>
      </c>
      <c r="L107" s="76" t="str">
        <f>IF(M107="","N",STEP!$J$22)</f>
        <v>N</v>
      </c>
      <c r="M107" s="1" t="s">
        <v>11</v>
      </c>
      <c r="N107" s="1" t="s">
        <v>11</v>
      </c>
      <c r="O107" s="1" t="s">
        <v>11</v>
      </c>
      <c r="P107" s="1"/>
      <c r="Q107" s="185">
        <v>20200902</v>
      </c>
      <c r="R107" s="196">
        <v>44076</v>
      </c>
      <c r="S107" s="197">
        <f t="shared" si="127"/>
        <v>24</v>
      </c>
      <c r="T107" s="66">
        <f t="shared" si="128"/>
        <v>3</v>
      </c>
      <c r="U107" s="65" t="s">
        <v>11</v>
      </c>
      <c r="V107" s="70">
        <v>22.722300000000001</v>
      </c>
      <c r="W107" s="74" t="str">
        <f t="shared" si="150"/>
        <v/>
      </c>
      <c r="X107" s="70" t="str" cm="1">
        <f t="array" ref="X107">IF(U107="","",INDEX(STEP!$C:$C,MATCH('Position Control'!M107&amp;'Position Control'!P107,STEP!$A:$A&amp;STEP!$B:$B,0)))</f>
        <v/>
      </c>
      <c r="Y107" s="74" t="str">
        <f t="shared" ref="Y107:Y120" si="158">IF(L107="Y",(20221001-U107)/10000,"")</f>
        <v/>
      </c>
      <c r="Z107" s="1">
        <v>8810</v>
      </c>
      <c r="AA107" s="112">
        <f>VLOOKUP(Z107,'WRK COMP'!$A$1:$E$17,5,FALSE)</f>
        <v>1.0169999999999999E-3</v>
      </c>
      <c r="AB107" s="76" t="s">
        <v>13</v>
      </c>
      <c r="AC107" s="68">
        <v>0</v>
      </c>
      <c r="AD107" s="68">
        <v>28.84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10" t="s">
        <v>49</v>
      </c>
      <c r="AK107" s="10" t="s">
        <v>49</v>
      </c>
      <c r="AL107" s="10" t="s">
        <v>49</v>
      </c>
      <c r="AM107" s="78">
        <f>IF(F107&gt;0.79,IF(ROUNDUP(IF(B107="FS",(V107*HRS!$B$9),(V107*HRS!$L$2))*2,-3)&gt;150000,150000,(ROUNDUP(IF(B107="FS",(V107*HRS!$B$9),(V107*HRS!$L$2))*2,-3))),0)</f>
        <v>95000</v>
      </c>
      <c r="AN107" s="188">
        <f t="shared" si="154"/>
        <v>48763</v>
      </c>
      <c r="AO107" s="77">
        <f>IF(L107="N",IF(B107="FS",ROUNDUP($V107*HRS!$B$9*'Position Control'!F107,0),ROUNDUP('Position Control'!$V107*HRS!$L$2*'Position Control'!F107,0)),IF('Position Control'!B107="FS",ROUNDUP(('Position Control'!V107*HRS!$B$9*'Position Control'!W107*'Position Control'!F107)+('Position Control'!X107*HRS!$B$9*'Position Control'!Y107*'Position Control'!F107),0),ROUNDUP(('Position Control'!V107*HRS!$L$2*'Position Control'!W107*'Position Control'!F107)+('Position Control'!X107*HRS!$L$2*'Position Control'!Y107*'Position Control'!F107),0)))*'Position Control'!H107</f>
        <v>47263</v>
      </c>
      <c r="AP107" s="77">
        <f t="shared" si="131"/>
        <v>0</v>
      </c>
      <c r="AQ107" s="77">
        <f t="shared" si="132"/>
        <v>1500</v>
      </c>
      <c r="AR107" s="77">
        <f t="shared" si="133"/>
        <v>0</v>
      </c>
      <c r="AS107" s="77">
        <v>0</v>
      </c>
      <c r="AT107" s="79">
        <f t="shared" si="134"/>
        <v>0</v>
      </c>
      <c r="AU107" s="77">
        <f t="shared" si="135"/>
        <v>0</v>
      </c>
      <c r="AV107" s="77">
        <v>0</v>
      </c>
      <c r="AW107" s="77">
        <f t="shared" si="136"/>
        <v>0</v>
      </c>
      <c r="AX107" s="77">
        <f t="shared" si="137"/>
        <v>0</v>
      </c>
      <c r="AY107" s="77">
        <f t="shared" si="138"/>
        <v>0</v>
      </c>
      <c r="AZ107" s="77">
        <f t="shared" si="139"/>
        <v>0</v>
      </c>
      <c r="BA107" s="77">
        <f t="shared" si="140"/>
        <v>0</v>
      </c>
      <c r="BB107" s="77">
        <f t="shared" si="141"/>
        <v>0</v>
      </c>
      <c r="BC107" s="77">
        <f t="shared" si="152"/>
        <v>0</v>
      </c>
      <c r="BD107" s="77">
        <f t="shared" si="156"/>
        <v>120</v>
      </c>
      <c r="BE107" s="77">
        <v>0</v>
      </c>
      <c r="BF107" s="77">
        <f t="shared" si="142"/>
        <v>114</v>
      </c>
      <c r="BG107" s="77">
        <f>VLOOKUP($AJ107,BENE!$I$2:$N$9,6,FALSE)*'Position Control'!$H107</f>
        <v>0</v>
      </c>
      <c r="BH107" s="77">
        <f>VLOOKUP($AK107,BENE!$A$2:$F$19,6,FALSE)*'Position Control'!$H107</f>
        <v>0</v>
      </c>
      <c r="BI107" s="77">
        <f>VLOOKUP($AK107,BENE!$A$2:$G$19,7,FALSE)*'Position Control'!$H107</f>
        <v>0</v>
      </c>
      <c r="BJ107" s="77">
        <f>VLOOKUP($AL107,BENE!$P$2:$S$6,4,FALSE)*'Position Control'!$H107</f>
        <v>0</v>
      </c>
      <c r="BK107" s="77">
        <f>IF($F107&gt;HRS!$H$2,ROUNDUP(((($AN107+$BE107)*$BK$3)/12*9)+(($AN107+$BE107)*HRS!$B$10/12*3),0),0)*$H107</f>
        <v>8222</v>
      </c>
      <c r="BL107" s="80">
        <f t="shared" si="143"/>
        <v>50</v>
      </c>
      <c r="BM107" s="77">
        <f t="shared" si="144"/>
        <v>144</v>
      </c>
      <c r="BN107" s="77">
        <f t="shared" si="145"/>
        <v>708</v>
      </c>
      <c r="BO107" s="77">
        <f t="shared" si="146"/>
        <v>88</v>
      </c>
      <c r="BP107" s="77">
        <f t="shared" si="147"/>
        <v>0</v>
      </c>
      <c r="BQ107" s="77">
        <v>0</v>
      </c>
      <c r="BR107" s="80">
        <f t="shared" si="155"/>
        <v>58209</v>
      </c>
    </row>
    <row r="108" spans="1:70" outlineLevel="1" x14ac:dyDescent="0.35">
      <c r="A108" s="1" t="s">
        <v>6</v>
      </c>
      <c r="B108" s="1" t="s">
        <v>7</v>
      </c>
      <c r="C108" s="1" t="s">
        <v>8</v>
      </c>
      <c r="D108" s="1" t="s">
        <v>71</v>
      </c>
      <c r="E108" s="1" t="s">
        <v>89</v>
      </c>
      <c r="F108" s="2">
        <v>1</v>
      </c>
      <c r="G108" s="66">
        <v>1</v>
      </c>
      <c r="H108" s="66">
        <v>1</v>
      </c>
      <c r="I108" s="1" t="s">
        <v>611</v>
      </c>
      <c r="J108" s="1" t="s">
        <v>612</v>
      </c>
      <c r="K108" s="1" t="s">
        <v>131</v>
      </c>
      <c r="L108" s="76" t="str">
        <f>IF(M108="","N",STEP!$J$22)</f>
        <v>N</v>
      </c>
      <c r="M108" s="1" t="s">
        <v>11</v>
      </c>
      <c r="N108" s="1" t="s">
        <v>11</v>
      </c>
      <c r="O108" s="1" t="s">
        <v>11</v>
      </c>
      <c r="P108" s="1"/>
      <c r="Q108" s="185">
        <v>20020214</v>
      </c>
      <c r="R108" s="196">
        <v>37301</v>
      </c>
      <c r="S108" s="197">
        <f t="shared" si="127"/>
        <v>247</v>
      </c>
      <c r="T108" s="66">
        <f t="shared" si="128"/>
        <v>21</v>
      </c>
      <c r="U108" s="65" t="s">
        <v>11</v>
      </c>
      <c r="V108" s="70">
        <v>29.3474</v>
      </c>
      <c r="W108" s="74" t="str">
        <f t="shared" si="150"/>
        <v/>
      </c>
      <c r="X108" s="70" t="str" cm="1">
        <f t="array" ref="X108">IF(U108="","",INDEX(STEP!$C:$C,MATCH('Position Control'!M108&amp;'Position Control'!P108,STEP!$A:$A&amp;STEP!$B:$B,0)))</f>
        <v/>
      </c>
      <c r="Y108" s="74" t="str">
        <f t="shared" si="158"/>
        <v/>
      </c>
      <c r="Z108" s="1">
        <v>8810</v>
      </c>
      <c r="AA108" s="112">
        <f>VLOOKUP(Z108,'WRK COMP'!$A$1:$E$17,5,FALSE)</f>
        <v>1.0169999999999999E-3</v>
      </c>
      <c r="AB108" s="76" t="s">
        <v>13</v>
      </c>
      <c r="AC108" s="68">
        <v>0</v>
      </c>
      <c r="AD108" s="68">
        <v>0</v>
      </c>
      <c r="AE108" s="68">
        <v>0</v>
      </c>
      <c r="AF108" s="68">
        <v>0</v>
      </c>
      <c r="AG108" s="68">
        <v>0</v>
      </c>
      <c r="AH108" s="68">
        <v>0</v>
      </c>
      <c r="AI108" s="68">
        <v>0</v>
      </c>
      <c r="AJ108" s="1" t="s">
        <v>18</v>
      </c>
      <c r="AK108" s="1" t="s">
        <v>29</v>
      </c>
      <c r="AL108" s="1" t="s">
        <v>58</v>
      </c>
      <c r="AM108" s="78">
        <f>IF(F108&gt;0.79,IF(ROUNDUP(IF(B108="FS",(V108*HRS!$B$9),(V108*HRS!$L$2))*2,-3)&gt;150000,150000,(ROUNDUP(IF(B108="FS",(V108*HRS!$B$9),(V108*HRS!$L$2))*2,-3))),0)</f>
        <v>123000</v>
      </c>
      <c r="AN108" s="188">
        <f t="shared" si="154"/>
        <v>61043</v>
      </c>
      <c r="AO108" s="77">
        <f>IF(L108="N",IF(B108="FS",ROUNDUP($V108*HRS!$B$9*'Position Control'!F108,0),ROUNDUP('Position Control'!$V108*HRS!$L$2*'Position Control'!F108,0)),IF('Position Control'!B108="FS",ROUNDUP(('Position Control'!V108*HRS!$B$9*'Position Control'!W108*'Position Control'!F108)+('Position Control'!X108*HRS!$B$9*'Position Control'!Y108*'Position Control'!F108),0),ROUNDUP(('Position Control'!V108*HRS!$L$2*'Position Control'!W108*'Position Control'!F108)+('Position Control'!X108*HRS!$L$2*'Position Control'!Y108*'Position Control'!F108),0)))*'Position Control'!H108</f>
        <v>61043</v>
      </c>
      <c r="AP108" s="77">
        <f t="shared" si="131"/>
        <v>0</v>
      </c>
      <c r="AQ108" s="77">
        <f t="shared" si="132"/>
        <v>0</v>
      </c>
      <c r="AR108" s="77">
        <f t="shared" si="133"/>
        <v>0</v>
      </c>
      <c r="AS108" s="77">
        <v>0</v>
      </c>
      <c r="AT108" s="79">
        <f t="shared" si="134"/>
        <v>0</v>
      </c>
      <c r="AU108" s="77">
        <f t="shared" si="135"/>
        <v>0</v>
      </c>
      <c r="AV108" s="77">
        <v>0</v>
      </c>
      <c r="AW108" s="77">
        <f t="shared" si="136"/>
        <v>0</v>
      </c>
      <c r="AX108" s="77">
        <f t="shared" si="137"/>
        <v>0</v>
      </c>
      <c r="AY108" s="77">
        <f t="shared" si="138"/>
        <v>0</v>
      </c>
      <c r="AZ108" s="77">
        <f t="shared" si="139"/>
        <v>0</v>
      </c>
      <c r="BA108" s="77">
        <f t="shared" si="140"/>
        <v>0</v>
      </c>
      <c r="BB108" s="77">
        <f t="shared" si="141"/>
        <v>0</v>
      </c>
      <c r="BC108" s="77">
        <f t="shared" si="152"/>
        <v>0</v>
      </c>
      <c r="BD108" s="77">
        <f t="shared" si="156"/>
        <v>1200</v>
      </c>
      <c r="BE108" s="77">
        <v>0</v>
      </c>
      <c r="BF108" s="77">
        <f t="shared" si="142"/>
        <v>147.60000000000002</v>
      </c>
      <c r="BG108" s="77">
        <f>VLOOKUP($AJ108,BENE!$I$2:$N$9,6,FALSE)*'Position Control'!$H108</f>
        <v>760</v>
      </c>
      <c r="BH108" s="77">
        <f>VLOOKUP($AK108,BENE!$A$2:$F$19,6,FALSE)*'Position Control'!$H108</f>
        <v>15700</v>
      </c>
      <c r="BI108" s="77">
        <f>VLOOKUP($AK108,BENE!$A$2:$G$19,7,FALSE)*'Position Control'!$H108</f>
        <v>1500</v>
      </c>
      <c r="BJ108" s="77">
        <f>VLOOKUP($AL108,BENE!$P$2:$S$6,4,FALSE)*'Position Control'!$H108</f>
        <v>444</v>
      </c>
      <c r="BK108" s="77">
        <f>IF($F108&gt;HRS!$H$2,ROUNDUP(((($AN108+$BE108)*$BK$3)/12*9)+(($AN108+$BE108)*HRS!$B$10/12*3),0),0)*$H108</f>
        <v>10292</v>
      </c>
      <c r="BL108" s="80">
        <f t="shared" si="143"/>
        <v>63</v>
      </c>
      <c r="BM108" s="77">
        <f t="shared" si="144"/>
        <v>144</v>
      </c>
      <c r="BN108" s="77">
        <f t="shared" si="145"/>
        <v>886</v>
      </c>
      <c r="BO108" s="77">
        <f t="shared" si="146"/>
        <v>110</v>
      </c>
      <c r="BP108" s="77">
        <f t="shared" si="147"/>
        <v>1750</v>
      </c>
      <c r="BQ108" s="77">
        <v>0</v>
      </c>
      <c r="BR108" s="80">
        <f t="shared" si="155"/>
        <v>94039.6</v>
      </c>
    </row>
    <row r="109" spans="1:70" outlineLevel="1" x14ac:dyDescent="0.35">
      <c r="A109" s="1" t="s">
        <v>6</v>
      </c>
      <c r="B109" s="1" t="s">
        <v>7</v>
      </c>
      <c r="C109" s="1" t="s">
        <v>8</v>
      </c>
      <c r="D109" s="1" t="s">
        <v>71</v>
      </c>
      <c r="E109" s="1" t="s">
        <v>89</v>
      </c>
      <c r="F109" s="2">
        <v>1</v>
      </c>
      <c r="G109" s="66">
        <v>1</v>
      </c>
      <c r="H109" s="66">
        <v>1</v>
      </c>
      <c r="I109" s="1" t="s">
        <v>611</v>
      </c>
      <c r="J109" s="1" t="s">
        <v>612</v>
      </c>
      <c r="K109" s="1" t="s">
        <v>119</v>
      </c>
      <c r="L109" s="76" t="str">
        <f>IF(M109="","N",STEP!$J$22)</f>
        <v>N</v>
      </c>
      <c r="M109" s="1" t="s">
        <v>11</v>
      </c>
      <c r="N109" s="1" t="s">
        <v>11</v>
      </c>
      <c r="O109" s="1" t="s">
        <v>11</v>
      </c>
      <c r="P109" s="1"/>
      <c r="Q109" s="185">
        <v>20141015</v>
      </c>
      <c r="R109" s="196">
        <v>41927</v>
      </c>
      <c r="S109" s="197">
        <f t="shared" si="127"/>
        <v>95</v>
      </c>
      <c r="T109" s="66">
        <f t="shared" si="128"/>
        <v>8</v>
      </c>
      <c r="U109" s="65" t="s">
        <v>11</v>
      </c>
      <c r="V109" s="70">
        <v>25.311699999999998</v>
      </c>
      <c r="W109" s="74" t="str">
        <f t="shared" si="150"/>
        <v/>
      </c>
      <c r="X109" s="70" t="str" cm="1">
        <f t="array" ref="X109">IF(U109="","",INDEX(STEP!$C:$C,MATCH('Position Control'!M109&amp;'Position Control'!P109,STEP!$A:$A&amp;STEP!$B:$B,0)))</f>
        <v/>
      </c>
      <c r="Y109" s="74" t="str">
        <f t="shared" si="158"/>
        <v/>
      </c>
      <c r="Z109" s="1">
        <v>8810</v>
      </c>
      <c r="AA109" s="112">
        <f>VLOOKUP(Z109,'WRK COMP'!$A$1:$E$17,5,FALSE)</f>
        <v>1.0169999999999999E-3</v>
      </c>
      <c r="AB109" s="76" t="s">
        <v>13</v>
      </c>
      <c r="AC109" s="68">
        <v>0</v>
      </c>
      <c r="AD109" s="68">
        <v>28.85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1" t="s">
        <v>28</v>
      </c>
      <c r="AK109" s="1" t="s">
        <v>15</v>
      </c>
      <c r="AL109" s="1" t="s">
        <v>16</v>
      </c>
      <c r="AM109" s="78">
        <f>IF(F109&gt;0.79,IF(ROUNDUP(IF(B109="FS",(V109*HRS!$B$9),(V109*HRS!$L$2))*2,-3)&gt;150000,150000,(ROUNDUP(IF(B109="FS",(V109*HRS!$B$9),(V109*HRS!$L$2))*2,-3))),0)</f>
        <v>106000</v>
      </c>
      <c r="AN109" s="188">
        <f t="shared" si="154"/>
        <v>54150</v>
      </c>
      <c r="AO109" s="77">
        <f>IF(L109="N",IF(B109="FS",ROUNDUP($V109*HRS!$B$9*'Position Control'!F109,0),ROUNDUP('Position Control'!$V109*HRS!$L$2*'Position Control'!F109,0)),IF('Position Control'!B109="FS",ROUNDUP(('Position Control'!V109*HRS!$B$9*'Position Control'!W109*'Position Control'!F109)+('Position Control'!X109*HRS!$B$9*'Position Control'!Y109*'Position Control'!F109),0),ROUNDUP(('Position Control'!V109*HRS!$L$2*'Position Control'!W109*'Position Control'!F109)+('Position Control'!X109*HRS!$L$2*'Position Control'!Y109*'Position Control'!F109),0)))*'Position Control'!H109</f>
        <v>52649</v>
      </c>
      <c r="AP109" s="77">
        <f t="shared" si="131"/>
        <v>0</v>
      </c>
      <c r="AQ109" s="77">
        <f t="shared" si="132"/>
        <v>1501</v>
      </c>
      <c r="AR109" s="77">
        <f t="shared" si="133"/>
        <v>0</v>
      </c>
      <c r="AS109" s="77">
        <v>0</v>
      </c>
      <c r="AT109" s="79">
        <f t="shared" si="134"/>
        <v>0</v>
      </c>
      <c r="AU109" s="77">
        <f t="shared" si="135"/>
        <v>0</v>
      </c>
      <c r="AV109" s="77">
        <v>0</v>
      </c>
      <c r="AW109" s="77">
        <f t="shared" si="136"/>
        <v>0</v>
      </c>
      <c r="AX109" s="77">
        <f t="shared" si="137"/>
        <v>0</v>
      </c>
      <c r="AY109" s="77">
        <f t="shared" si="138"/>
        <v>0</v>
      </c>
      <c r="AZ109" s="77">
        <f t="shared" si="139"/>
        <v>0</v>
      </c>
      <c r="BA109" s="77">
        <f t="shared" si="140"/>
        <v>0</v>
      </c>
      <c r="BB109" s="77">
        <f t="shared" si="141"/>
        <v>0</v>
      </c>
      <c r="BC109" s="77">
        <f t="shared" si="152"/>
        <v>0</v>
      </c>
      <c r="BD109" s="77">
        <f t="shared" si="156"/>
        <v>475</v>
      </c>
      <c r="BE109" s="77">
        <v>0</v>
      </c>
      <c r="BF109" s="77">
        <f t="shared" si="142"/>
        <v>127.19999999999999</v>
      </c>
      <c r="BG109" s="77">
        <f>VLOOKUP($AJ109,BENE!$I$2:$N$9,6,FALSE)*'Position Control'!$H109</f>
        <v>154</v>
      </c>
      <c r="BH109" s="77">
        <f>VLOOKUP($AK109,BENE!$A$2:$F$19,6,FALSE)*'Position Control'!$H109</f>
        <v>6142</v>
      </c>
      <c r="BI109" s="77">
        <f>VLOOKUP($AK109,BENE!$A$2:$G$19,7,FALSE)*'Position Control'!$H109</f>
        <v>1000</v>
      </c>
      <c r="BJ109" s="77">
        <f>VLOOKUP($AL109,BENE!$P$2:$S$6,4,FALSE)*'Position Control'!$H109</f>
        <v>240</v>
      </c>
      <c r="BK109" s="77">
        <f>IF($F109&gt;HRS!$H$2,ROUNDUP(((($AN109+$BE109)*$BK$3)/12*9)+(($AN109+$BE109)*HRS!$B$10/12*3),0),0)*$H109</f>
        <v>9130</v>
      </c>
      <c r="BL109" s="80">
        <f t="shared" si="143"/>
        <v>56</v>
      </c>
      <c r="BM109" s="77">
        <f t="shared" si="144"/>
        <v>144</v>
      </c>
      <c r="BN109" s="77">
        <f t="shared" si="145"/>
        <v>786</v>
      </c>
      <c r="BO109" s="77">
        <f t="shared" si="146"/>
        <v>97</v>
      </c>
      <c r="BP109" s="77">
        <f t="shared" si="147"/>
        <v>0</v>
      </c>
      <c r="BQ109" s="77">
        <v>0</v>
      </c>
      <c r="BR109" s="80">
        <f t="shared" si="155"/>
        <v>72501.2</v>
      </c>
    </row>
    <row r="110" spans="1:70" outlineLevel="1" x14ac:dyDescent="0.35">
      <c r="A110" s="1" t="s">
        <v>6</v>
      </c>
      <c r="B110" s="1" t="s">
        <v>7</v>
      </c>
      <c r="C110" s="1" t="s">
        <v>8</v>
      </c>
      <c r="D110" s="1" t="s">
        <v>71</v>
      </c>
      <c r="E110" s="1" t="s">
        <v>89</v>
      </c>
      <c r="F110" s="2">
        <v>1</v>
      </c>
      <c r="G110" s="66">
        <v>1</v>
      </c>
      <c r="H110" s="66">
        <v>1</v>
      </c>
      <c r="I110" s="1" t="s">
        <v>611</v>
      </c>
      <c r="J110" s="1" t="s">
        <v>612</v>
      </c>
      <c r="K110" s="1" t="s">
        <v>124</v>
      </c>
      <c r="L110" s="76" t="str">
        <f>IF(M110="","N",STEP!$J$22)</f>
        <v>N</v>
      </c>
      <c r="M110" s="1" t="s">
        <v>11</v>
      </c>
      <c r="N110" s="1" t="s">
        <v>11</v>
      </c>
      <c r="O110" s="1" t="s">
        <v>11</v>
      </c>
      <c r="P110" s="1"/>
      <c r="Q110" s="185">
        <v>20210719</v>
      </c>
      <c r="R110" s="196">
        <v>44396</v>
      </c>
      <c r="S110" s="197">
        <f t="shared" si="127"/>
        <v>14</v>
      </c>
      <c r="T110" s="66">
        <f t="shared" si="128"/>
        <v>2</v>
      </c>
      <c r="U110" s="65" t="s">
        <v>11</v>
      </c>
      <c r="V110" s="192">
        <v>21.6404</v>
      </c>
      <c r="W110" s="74" t="str">
        <f t="shared" si="150"/>
        <v/>
      </c>
      <c r="X110" s="70" t="str" cm="1">
        <f t="array" ref="X110">IF(U110="","",INDEX(STEP!$C:$C,MATCH('Position Control'!M110&amp;'Position Control'!P110,STEP!$A:$A&amp;STEP!$B:$B,0)))</f>
        <v/>
      </c>
      <c r="Y110" s="74" t="str">
        <f t="shared" si="158"/>
        <v/>
      </c>
      <c r="Z110" s="1">
        <v>8810</v>
      </c>
      <c r="AA110" s="112">
        <f>VLOOKUP(Z110,'WRK COMP'!$A$1:$E$17,5,FALSE)</f>
        <v>1.0169999999999999E-3</v>
      </c>
      <c r="AB110" s="76" t="s">
        <v>13</v>
      </c>
      <c r="AC110" s="68">
        <v>0</v>
      </c>
      <c r="AD110" s="68">
        <v>28.84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1" t="s">
        <v>14</v>
      </c>
      <c r="AK110" s="1" t="s">
        <v>15</v>
      </c>
      <c r="AL110" s="1" t="s">
        <v>16</v>
      </c>
      <c r="AM110" s="78">
        <f>IF(F110&gt;0.79,IF(ROUNDUP(IF(B110="FS",(V110*HRS!$B$9),(V110*HRS!$L$2))*2,-3)&gt;150000,150000,(ROUNDUP(IF(B110="FS",(V110*HRS!$B$9),(V110*HRS!$L$2))*2,-3))),0)</f>
        <v>91000</v>
      </c>
      <c r="AN110" s="188">
        <f t="shared" si="154"/>
        <v>46513</v>
      </c>
      <c r="AO110" s="77">
        <f>IF(L110="N",IF(B110="FS",ROUNDUP($V110*HRS!$B$9*'Position Control'!F110,0),ROUNDUP('Position Control'!$V110*HRS!$L$2*'Position Control'!F110,0)),IF('Position Control'!B110="FS",ROUNDUP(('Position Control'!V110*HRS!$B$9*'Position Control'!W110*'Position Control'!F110)+('Position Control'!X110*HRS!$B$9*'Position Control'!Y110*'Position Control'!F110),0),ROUNDUP(('Position Control'!V110*HRS!$L$2*'Position Control'!W110*'Position Control'!F110)+('Position Control'!X110*HRS!$L$2*'Position Control'!Y110*'Position Control'!F110),0)))*'Position Control'!H110</f>
        <v>45013</v>
      </c>
      <c r="AP110" s="77">
        <f t="shared" si="131"/>
        <v>0</v>
      </c>
      <c r="AQ110" s="77">
        <f t="shared" si="132"/>
        <v>1500</v>
      </c>
      <c r="AR110" s="77">
        <f t="shared" si="133"/>
        <v>0</v>
      </c>
      <c r="AS110" s="77">
        <v>0</v>
      </c>
      <c r="AT110" s="79">
        <f t="shared" si="134"/>
        <v>0</v>
      </c>
      <c r="AU110" s="77">
        <f t="shared" si="135"/>
        <v>0</v>
      </c>
      <c r="AV110" s="77">
        <v>0</v>
      </c>
      <c r="AW110" s="77">
        <f t="shared" si="136"/>
        <v>0</v>
      </c>
      <c r="AX110" s="77">
        <f t="shared" si="137"/>
        <v>0</v>
      </c>
      <c r="AY110" s="77">
        <f t="shared" si="138"/>
        <v>0</v>
      </c>
      <c r="AZ110" s="77">
        <f t="shared" si="139"/>
        <v>0</v>
      </c>
      <c r="BA110" s="77">
        <f t="shared" si="140"/>
        <v>0</v>
      </c>
      <c r="BB110" s="77">
        <f t="shared" si="141"/>
        <v>0</v>
      </c>
      <c r="BC110" s="77">
        <f t="shared" si="152"/>
        <v>0</v>
      </c>
      <c r="BD110" s="77">
        <f t="shared" si="156"/>
        <v>70</v>
      </c>
      <c r="BE110" s="77">
        <v>0</v>
      </c>
      <c r="BF110" s="77">
        <f t="shared" si="142"/>
        <v>109.19999999999999</v>
      </c>
      <c r="BG110" s="77">
        <f>VLOOKUP($AJ110,BENE!$I$2:$N$9,6,FALSE)*'Position Control'!$H110</f>
        <v>389</v>
      </c>
      <c r="BH110" s="77">
        <f>VLOOKUP($AK110,BENE!$A$2:$F$19,6,FALSE)*'Position Control'!$H110</f>
        <v>6142</v>
      </c>
      <c r="BI110" s="77">
        <f>VLOOKUP($AK110,BENE!$A$2:$G$19,7,FALSE)*'Position Control'!$H110</f>
        <v>1000</v>
      </c>
      <c r="BJ110" s="77">
        <f>VLOOKUP($AL110,BENE!$P$2:$S$6,4,FALSE)*'Position Control'!$H110</f>
        <v>240</v>
      </c>
      <c r="BK110" s="77">
        <f>IF($F110&gt;HRS!$H$2,ROUNDUP(((($AN110+$BE110)*$BK$3)/12*9)+(($AN110+$BE110)*HRS!$B$10/12*3),0),0)*$H110</f>
        <v>7843</v>
      </c>
      <c r="BL110" s="80">
        <f t="shared" si="143"/>
        <v>48</v>
      </c>
      <c r="BM110" s="77">
        <f t="shared" si="144"/>
        <v>144</v>
      </c>
      <c r="BN110" s="77">
        <f t="shared" si="145"/>
        <v>675</v>
      </c>
      <c r="BO110" s="77">
        <f t="shared" si="146"/>
        <v>84</v>
      </c>
      <c r="BP110" s="77">
        <f t="shared" si="147"/>
        <v>0</v>
      </c>
      <c r="BQ110" s="77">
        <v>0</v>
      </c>
      <c r="BR110" s="80">
        <f t="shared" si="155"/>
        <v>63257.2</v>
      </c>
    </row>
    <row r="111" spans="1:70" outlineLevel="1" x14ac:dyDescent="0.35">
      <c r="A111" s="1" t="s">
        <v>6</v>
      </c>
      <c r="B111" s="1" t="s">
        <v>7</v>
      </c>
      <c r="C111" s="1" t="s">
        <v>8</v>
      </c>
      <c r="D111" s="1" t="s">
        <v>71</v>
      </c>
      <c r="E111" s="1" t="s">
        <v>89</v>
      </c>
      <c r="F111" s="2">
        <v>1</v>
      </c>
      <c r="G111" s="66">
        <v>1</v>
      </c>
      <c r="H111" s="66">
        <v>1</v>
      </c>
      <c r="I111" s="1" t="s">
        <v>611</v>
      </c>
      <c r="J111" s="1" t="s">
        <v>612</v>
      </c>
      <c r="K111" s="1" t="s">
        <v>98</v>
      </c>
      <c r="L111" s="76" t="str">
        <f>IF(M111="","N",STEP!$J$22)</f>
        <v>N</v>
      </c>
      <c r="M111" s="1" t="s">
        <v>11</v>
      </c>
      <c r="N111" s="1" t="s">
        <v>11</v>
      </c>
      <c r="O111" s="1" t="s">
        <v>11</v>
      </c>
      <c r="P111" s="1"/>
      <c r="Q111" s="185">
        <v>20140626</v>
      </c>
      <c r="R111" s="196">
        <v>41816</v>
      </c>
      <c r="S111" s="197">
        <f t="shared" si="127"/>
        <v>99</v>
      </c>
      <c r="T111" s="66">
        <f t="shared" si="128"/>
        <v>9</v>
      </c>
      <c r="U111" s="65" t="s">
        <v>11</v>
      </c>
      <c r="V111" s="70">
        <v>27.235600000000002</v>
      </c>
      <c r="W111" s="74" t="str">
        <f t="shared" si="150"/>
        <v/>
      </c>
      <c r="X111" s="70" t="str" cm="1">
        <f t="array" ref="X111">IF(U111="","",INDEX(STEP!$C:$C,MATCH('Position Control'!M111&amp;'Position Control'!P111,STEP!$A:$A&amp;STEP!$B:$B,0)))</f>
        <v/>
      </c>
      <c r="Y111" s="74" t="str">
        <f t="shared" si="158"/>
        <v/>
      </c>
      <c r="Z111" s="1">
        <v>8810</v>
      </c>
      <c r="AA111" s="112">
        <f>VLOOKUP(Z111,'WRK COMP'!$A$1:$E$17,5,FALSE)</f>
        <v>1.0169999999999999E-3</v>
      </c>
      <c r="AB111" s="76" t="s">
        <v>13</v>
      </c>
      <c r="AC111" s="68">
        <v>0</v>
      </c>
      <c r="AD111" s="68">
        <v>28.85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1" t="s">
        <v>14</v>
      </c>
      <c r="AK111" s="1" t="s">
        <v>43</v>
      </c>
      <c r="AL111" s="10" t="s">
        <v>49</v>
      </c>
      <c r="AM111" s="78">
        <f>IF(F111&gt;0.79,IF(ROUNDUP(IF(B111="FS",(V111*HRS!$B$9),(V111*HRS!$L$2))*2,-3)&gt;150000,150000,(ROUNDUP(IF(B111="FS",(V111*HRS!$B$9),(V111*HRS!$L$2))*2,-3))),0)</f>
        <v>114000</v>
      </c>
      <c r="AN111" s="188">
        <f t="shared" si="154"/>
        <v>58152</v>
      </c>
      <c r="AO111" s="77">
        <f>IF(L111="N",IF(B111="FS",ROUNDUP($V111*HRS!$B$9*'Position Control'!F111,0),ROUNDUP('Position Control'!$V111*HRS!$L$2*'Position Control'!F111,0)),IF('Position Control'!B111="FS",ROUNDUP(('Position Control'!V111*HRS!$B$9*'Position Control'!W111*'Position Control'!F111)+('Position Control'!X111*HRS!$B$9*'Position Control'!Y111*'Position Control'!F111),0),ROUNDUP(('Position Control'!V111*HRS!$L$2*'Position Control'!W111*'Position Control'!F111)+('Position Control'!X111*HRS!$L$2*'Position Control'!Y111*'Position Control'!F111),0)))*'Position Control'!H111</f>
        <v>56651</v>
      </c>
      <c r="AP111" s="77">
        <f t="shared" si="131"/>
        <v>0</v>
      </c>
      <c r="AQ111" s="77">
        <f t="shared" si="132"/>
        <v>1501</v>
      </c>
      <c r="AR111" s="77">
        <f t="shared" si="133"/>
        <v>0</v>
      </c>
      <c r="AS111" s="77">
        <v>0</v>
      </c>
      <c r="AT111" s="79">
        <f t="shared" si="134"/>
        <v>0</v>
      </c>
      <c r="AU111" s="77">
        <f t="shared" si="135"/>
        <v>0</v>
      </c>
      <c r="AV111" s="77">
        <v>0</v>
      </c>
      <c r="AW111" s="77">
        <f t="shared" si="136"/>
        <v>0</v>
      </c>
      <c r="AX111" s="77">
        <f t="shared" si="137"/>
        <v>0</v>
      </c>
      <c r="AY111" s="77">
        <f t="shared" si="138"/>
        <v>0</v>
      </c>
      <c r="AZ111" s="77">
        <f t="shared" si="139"/>
        <v>0</v>
      </c>
      <c r="BA111" s="77">
        <f t="shared" si="140"/>
        <v>0</v>
      </c>
      <c r="BB111" s="77">
        <f t="shared" si="141"/>
        <v>0</v>
      </c>
      <c r="BC111" s="77">
        <f t="shared" si="152"/>
        <v>0</v>
      </c>
      <c r="BD111" s="77">
        <f t="shared" si="156"/>
        <v>495</v>
      </c>
      <c r="BE111" s="77">
        <v>0</v>
      </c>
      <c r="BF111" s="77">
        <f t="shared" si="142"/>
        <v>136.80000000000001</v>
      </c>
      <c r="BG111" s="77">
        <f>VLOOKUP($AJ111,BENE!$I$2:$N$9,6,FALSE)*'Position Control'!$H111</f>
        <v>389</v>
      </c>
      <c r="BH111" s="77">
        <f>VLOOKUP($AK111,BENE!$A$2:$F$19,6,FALSE)*'Position Control'!$H111</f>
        <v>6870</v>
      </c>
      <c r="BI111" s="77">
        <f>VLOOKUP($AK111,BENE!$A$2:$G$19,7,FALSE)*'Position Control'!$H111</f>
        <v>0</v>
      </c>
      <c r="BJ111" s="77">
        <f>VLOOKUP($AL111,BENE!$P$2:$S$6,4,FALSE)*'Position Control'!$H111</f>
        <v>0</v>
      </c>
      <c r="BK111" s="77">
        <f>IF($F111&gt;HRS!$H$2,ROUNDUP(((($AN111+$BE111)*$BK$3)/12*9)+(($AN111+$BE111)*HRS!$B$10/12*3),0),0)*$H111</f>
        <v>9805</v>
      </c>
      <c r="BL111" s="80">
        <f t="shared" si="143"/>
        <v>60</v>
      </c>
      <c r="BM111" s="77">
        <f t="shared" si="144"/>
        <v>144</v>
      </c>
      <c r="BN111" s="77">
        <f t="shared" si="145"/>
        <v>844</v>
      </c>
      <c r="BO111" s="77">
        <f t="shared" si="146"/>
        <v>105</v>
      </c>
      <c r="BP111" s="77">
        <f t="shared" si="147"/>
        <v>0</v>
      </c>
      <c r="BQ111" s="77">
        <v>0</v>
      </c>
      <c r="BR111" s="80">
        <f t="shared" si="155"/>
        <v>77000.800000000003</v>
      </c>
    </row>
    <row r="112" spans="1:70" outlineLevel="1" x14ac:dyDescent="0.35">
      <c r="A112" s="1" t="s">
        <v>6</v>
      </c>
      <c r="B112" s="1" t="s">
        <v>7</v>
      </c>
      <c r="C112" s="1" t="s">
        <v>8</v>
      </c>
      <c r="D112" s="1" t="s">
        <v>71</v>
      </c>
      <c r="E112" s="1" t="s">
        <v>89</v>
      </c>
      <c r="F112" s="2">
        <v>1</v>
      </c>
      <c r="G112" s="66">
        <v>1</v>
      </c>
      <c r="H112" s="66">
        <v>1</v>
      </c>
      <c r="I112" s="1" t="s">
        <v>611</v>
      </c>
      <c r="J112" s="1" t="s">
        <v>612</v>
      </c>
      <c r="K112" s="1" t="s">
        <v>123</v>
      </c>
      <c r="L112" s="76" t="str">
        <f>IF(M112="","N",STEP!$J$22)</f>
        <v>N</v>
      </c>
      <c r="M112" s="1" t="s">
        <v>11</v>
      </c>
      <c r="N112" s="1" t="s">
        <v>11</v>
      </c>
      <c r="O112" s="1" t="s">
        <v>11</v>
      </c>
      <c r="P112" s="1"/>
      <c r="Q112" s="185">
        <v>20080407</v>
      </c>
      <c r="R112" s="196">
        <v>39545</v>
      </c>
      <c r="S112" s="197">
        <f t="shared" si="127"/>
        <v>173</v>
      </c>
      <c r="T112" s="66">
        <f t="shared" si="128"/>
        <v>15</v>
      </c>
      <c r="U112" s="65" t="s">
        <v>11</v>
      </c>
      <c r="V112" s="70">
        <v>25.599799999999998</v>
      </c>
      <c r="W112" s="74" t="str">
        <f t="shared" si="150"/>
        <v/>
      </c>
      <c r="X112" s="70" t="str" cm="1">
        <f t="array" ref="X112">IF(U112="","",INDEX(STEP!$C:$C,MATCH('Position Control'!M112&amp;'Position Control'!P112,STEP!$A:$A&amp;STEP!$B:$B,0)))</f>
        <v/>
      </c>
      <c r="Y112" s="74" t="str">
        <f t="shared" si="158"/>
        <v/>
      </c>
      <c r="Z112" s="1">
        <v>8810</v>
      </c>
      <c r="AA112" s="112">
        <f>VLOOKUP(Z112,'WRK COMP'!$A$1:$E$17,5,FALSE)</f>
        <v>1.0169999999999999E-3</v>
      </c>
      <c r="AB112" s="76" t="s">
        <v>13</v>
      </c>
      <c r="AC112" s="68">
        <v>0</v>
      </c>
      <c r="AD112" s="68">
        <v>51.93</v>
      </c>
      <c r="AE112" s="68">
        <v>11.54</v>
      </c>
      <c r="AF112" s="68">
        <v>0</v>
      </c>
      <c r="AG112" s="68">
        <v>0</v>
      </c>
      <c r="AH112" s="68">
        <v>0</v>
      </c>
      <c r="AI112" s="68">
        <v>0</v>
      </c>
      <c r="AJ112" s="1" t="s">
        <v>14</v>
      </c>
      <c r="AK112" s="1" t="s">
        <v>15</v>
      </c>
      <c r="AL112" s="1" t="s">
        <v>16</v>
      </c>
      <c r="AM112" s="78">
        <f>IF(F112&gt;0.79,IF(ROUNDUP(IF(B112="FS",(V112*HRS!$B$9),(V112*HRS!$L$2))*2,-3)&gt;150000,150000,(ROUNDUP(IF(B112="FS",(V112*HRS!$B$9),(V112*HRS!$L$2))*2,-3))),0)</f>
        <v>107000</v>
      </c>
      <c r="AN112" s="188">
        <f t="shared" si="154"/>
        <v>56550</v>
      </c>
      <c r="AO112" s="77">
        <f>IF(L112="N",IF(B112="FS",ROUNDUP($V112*HRS!$B$9*'Position Control'!F112,0),ROUNDUP('Position Control'!$V112*HRS!$L$2*'Position Control'!F112,0)),IF('Position Control'!B112="FS",ROUNDUP(('Position Control'!V112*HRS!$B$9*'Position Control'!W112*'Position Control'!F112)+('Position Control'!X112*HRS!$B$9*'Position Control'!Y112*'Position Control'!F112),0),ROUNDUP(('Position Control'!V112*HRS!$L$2*'Position Control'!W112*'Position Control'!F112)+('Position Control'!X112*HRS!$L$2*'Position Control'!Y112*'Position Control'!F112),0)))*'Position Control'!H112</f>
        <v>53248</v>
      </c>
      <c r="AP112" s="77">
        <f t="shared" si="131"/>
        <v>0</v>
      </c>
      <c r="AQ112" s="77">
        <f t="shared" si="132"/>
        <v>2701</v>
      </c>
      <c r="AR112" s="77">
        <f t="shared" si="133"/>
        <v>0</v>
      </c>
      <c r="AS112" s="77">
        <v>0</v>
      </c>
      <c r="AT112" s="79">
        <f t="shared" si="134"/>
        <v>0</v>
      </c>
      <c r="AU112" s="77">
        <f t="shared" si="135"/>
        <v>0</v>
      </c>
      <c r="AV112" s="77">
        <v>0</v>
      </c>
      <c r="AW112" s="77">
        <f t="shared" si="136"/>
        <v>601</v>
      </c>
      <c r="AX112" s="77">
        <f t="shared" si="137"/>
        <v>0</v>
      </c>
      <c r="AY112" s="77">
        <f t="shared" si="138"/>
        <v>0</v>
      </c>
      <c r="AZ112" s="77">
        <f t="shared" si="139"/>
        <v>0</v>
      </c>
      <c r="BA112" s="77">
        <f t="shared" si="140"/>
        <v>0</v>
      </c>
      <c r="BB112" s="77">
        <f t="shared" si="141"/>
        <v>0</v>
      </c>
      <c r="BC112" s="77">
        <f t="shared" si="152"/>
        <v>0</v>
      </c>
      <c r="BD112" s="77">
        <f t="shared" si="156"/>
        <v>865</v>
      </c>
      <c r="BE112" s="77">
        <v>0</v>
      </c>
      <c r="BF112" s="77">
        <f t="shared" si="142"/>
        <v>128.4</v>
      </c>
      <c r="BG112" s="77">
        <f>VLOOKUP($AJ112,BENE!$I$2:$N$9,6,FALSE)*'Position Control'!$H112</f>
        <v>389</v>
      </c>
      <c r="BH112" s="77">
        <f>VLOOKUP($AK112,BENE!$A$2:$F$19,6,FALSE)*'Position Control'!$H112</f>
        <v>6142</v>
      </c>
      <c r="BI112" s="77">
        <f>VLOOKUP($AK112,BENE!$A$2:$G$19,7,FALSE)*'Position Control'!$H112</f>
        <v>1000</v>
      </c>
      <c r="BJ112" s="77">
        <f>VLOOKUP($AL112,BENE!$P$2:$S$6,4,FALSE)*'Position Control'!$H112</f>
        <v>240</v>
      </c>
      <c r="BK112" s="77">
        <f>IF($F112&gt;HRS!$H$2,ROUNDUP(((($AN112+$BE112)*$BK$3)/12*9)+(($AN112+$BE112)*HRS!$B$10/12*3),0),0)*$H112</f>
        <v>9535</v>
      </c>
      <c r="BL112" s="80">
        <f t="shared" si="143"/>
        <v>58</v>
      </c>
      <c r="BM112" s="77">
        <f t="shared" si="144"/>
        <v>144</v>
      </c>
      <c r="BN112" s="77">
        <f t="shared" si="145"/>
        <v>820</v>
      </c>
      <c r="BO112" s="77">
        <f t="shared" si="146"/>
        <v>102</v>
      </c>
      <c r="BP112" s="77">
        <f t="shared" si="147"/>
        <v>1500</v>
      </c>
      <c r="BQ112" s="77">
        <v>0</v>
      </c>
      <c r="BR112" s="80">
        <f t="shared" si="155"/>
        <v>77473.399999999994</v>
      </c>
    </row>
    <row r="113" spans="1:70" outlineLevel="1" x14ac:dyDescent="0.35">
      <c r="A113" s="1" t="s">
        <v>6</v>
      </c>
      <c r="B113" s="1" t="s">
        <v>7</v>
      </c>
      <c r="C113" s="1" t="s">
        <v>8</v>
      </c>
      <c r="D113" s="1" t="s">
        <v>71</v>
      </c>
      <c r="E113" s="1" t="s">
        <v>89</v>
      </c>
      <c r="F113" s="2">
        <v>1</v>
      </c>
      <c r="G113" s="66">
        <v>1</v>
      </c>
      <c r="H113" s="66">
        <v>1</v>
      </c>
      <c r="I113" s="1" t="s">
        <v>611</v>
      </c>
      <c r="J113" s="1" t="s">
        <v>612</v>
      </c>
      <c r="K113" s="1" t="s">
        <v>111</v>
      </c>
      <c r="L113" s="76" t="str">
        <f>IF(M113="","N",STEP!$J$22)</f>
        <v>N</v>
      </c>
      <c r="M113" s="1" t="s">
        <v>11</v>
      </c>
      <c r="N113" s="1" t="s">
        <v>11</v>
      </c>
      <c r="O113" s="1" t="s">
        <v>11</v>
      </c>
      <c r="P113" s="1"/>
      <c r="Q113" s="185">
        <v>20210629</v>
      </c>
      <c r="R113" s="196">
        <v>44376</v>
      </c>
      <c r="S113" s="197">
        <f t="shared" si="127"/>
        <v>15</v>
      </c>
      <c r="T113" s="66">
        <f t="shared" si="128"/>
        <v>2</v>
      </c>
      <c r="U113" s="65" t="s">
        <v>11</v>
      </c>
      <c r="V113" s="70">
        <v>17.633800000000001</v>
      </c>
      <c r="W113" s="74" t="str">
        <f t="shared" si="150"/>
        <v/>
      </c>
      <c r="X113" s="70" t="str" cm="1">
        <f t="array" ref="X113">IF(U113="","",INDEX(STEP!$C:$C,MATCH('Position Control'!M113&amp;'Position Control'!P113,STEP!$A:$A&amp;STEP!$B:$B,0)))</f>
        <v/>
      </c>
      <c r="Y113" s="74" t="str">
        <f t="shared" si="158"/>
        <v/>
      </c>
      <c r="Z113" s="1">
        <v>8810</v>
      </c>
      <c r="AA113" s="112">
        <f>VLOOKUP(Z113,'WRK COMP'!$A$1:$E$17,5,FALSE)</f>
        <v>1.0169999999999999E-3</v>
      </c>
      <c r="AB113" s="76" t="s">
        <v>13</v>
      </c>
      <c r="AC113" s="68">
        <v>0</v>
      </c>
      <c r="AD113" s="68">
        <v>28.84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1" t="s">
        <v>28</v>
      </c>
      <c r="AK113" s="1" t="s">
        <v>15</v>
      </c>
      <c r="AL113" s="1" t="s">
        <v>16</v>
      </c>
      <c r="AM113" s="78">
        <f>IF(F113&gt;0.79,IF(ROUNDUP(IF(B113="FS",(V113*HRS!$B$9),(V113*HRS!$L$2))*2,-3)&gt;150000,150000,(ROUNDUP(IF(B113="FS",(V113*HRS!$B$9),(V113*HRS!$L$2))*2,-3))),0)</f>
        <v>74000</v>
      </c>
      <c r="AN113" s="188">
        <f t="shared" si="154"/>
        <v>38179</v>
      </c>
      <c r="AO113" s="77">
        <f>IF(L113="N",IF(B113="FS",ROUNDUP($V113*HRS!$B$9*'Position Control'!F113,0),ROUNDUP('Position Control'!$V113*HRS!$L$2*'Position Control'!F113,0)),IF('Position Control'!B113="FS",ROUNDUP(('Position Control'!V113*HRS!$B$9*'Position Control'!W113*'Position Control'!F113)+('Position Control'!X113*HRS!$B$9*'Position Control'!Y113*'Position Control'!F113),0),ROUNDUP(('Position Control'!V113*HRS!$L$2*'Position Control'!W113*'Position Control'!F113)+('Position Control'!X113*HRS!$L$2*'Position Control'!Y113*'Position Control'!F113),0)))*'Position Control'!H113</f>
        <v>36679</v>
      </c>
      <c r="AP113" s="77">
        <f t="shared" si="131"/>
        <v>0</v>
      </c>
      <c r="AQ113" s="77">
        <f t="shared" si="132"/>
        <v>1500</v>
      </c>
      <c r="AR113" s="77">
        <f t="shared" si="133"/>
        <v>0</v>
      </c>
      <c r="AS113" s="77">
        <v>0</v>
      </c>
      <c r="AT113" s="79">
        <f t="shared" si="134"/>
        <v>0</v>
      </c>
      <c r="AU113" s="77">
        <f t="shared" si="135"/>
        <v>0</v>
      </c>
      <c r="AV113" s="77">
        <v>0</v>
      </c>
      <c r="AW113" s="77">
        <f t="shared" si="136"/>
        <v>0</v>
      </c>
      <c r="AX113" s="77">
        <f t="shared" si="137"/>
        <v>0</v>
      </c>
      <c r="AY113" s="77">
        <f t="shared" si="138"/>
        <v>0</v>
      </c>
      <c r="AZ113" s="77">
        <f t="shared" si="139"/>
        <v>0</v>
      </c>
      <c r="BA113" s="77">
        <f t="shared" si="140"/>
        <v>0</v>
      </c>
      <c r="BB113" s="77">
        <f t="shared" si="141"/>
        <v>0</v>
      </c>
      <c r="BC113" s="77">
        <f t="shared" si="152"/>
        <v>0</v>
      </c>
      <c r="BD113" s="77">
        <f t="shared" si="156"/>
        <v>75</v>
      </c>
      <c r="BE113" s="77">
        <v>0</v>
      </c>
      <c r="BF113" s="77">
        <f t="shared" si="142"/>
        <v>88.800000000000011</v>
      </c>
      <c r="BG113" s="77">
        <f>VLOOKUP($AJ113,BENE!$I$2:$N$9,6,FALSE)*'Position Control'!$H113</f>
        <v>154</v>
      </c>
      <c r="BH113" s="77">
        <f>VLOOKUP($AK113,BENE!$A$2:$F$19,6,FALSE)*'Position Control'!$H113</f>
        <v>6142</v>
      </c>
      <c r="BI113" s="77">
        <f>VLOOKUP($AK113,BENE!$A$2:$G$19,7,FALSE)*'Position Control'!$H113</f>
        <v>1000</v>
      </c>
      <c r="BJ113" s="77">
        <f>VLOOKUP($AL113,BENE!$P$2:$S$6,4,FALSE)*'Position Control'!$H113</f>
        <v>240</v>
      </c>
      <c r="BK113" s="77">
        <f>IF($F113&gt;HRS!$H$2,ROUNDUP(((($AN113+$BE113)*$BK$3)/12*9)+(($AN113+$BE113)*HRS!$B$10/12*3),0),0)*$H113</f>
        <v>6437</v>
      </c>
      <c r="BL113" s="80">
        <f t="shared" si="143"/>
        <v>39</v>
      </c>
      <c r="BM113" s="77">
        <f t="shared" si="144"/>
        <v>144</v>
      </c>
      <c r="BN113" s="77">
        <f t="shared" si="145"/>
        <v>554</v>
      </c>
      <c r="BO113" s="77">
        <f t="shared" si="146"/>
        <v>69</v>
      </c>
      <c r="BP113" s="77">
        <f t="shared" si="147"/>
        <v>0</v>
      </c>
      <c r="BQ113" s="77">
        <v>0</v>
      </c>
      <c r="BR113" s="80">
        <f t="shared" si="155"/>
        <v>53121.8</v>
      </c>
    </row>
    <row r="114" spans="1:70" outlineLevel="1" x14ac:dyDescent="0.35">
      <c r="A114" s="1" t="s">
        <v>6</v>
      </c>
      <c r="B114" s="1" t="s">
        <v>7</v>
      </c>
      <c r="C114" s="1" t="s">
        <v>8</v>
      </c>
      <c r="D114" s="1" t="s">
        <v>71</v>
      </c>
      <c r="E114" s="1" t="s">
        <v>89</v>
      </c>
      <c r="F114" s="2">
        <v>1</v>
      </c>
      <c r="G114" s="66">
        <v>1</v>
      </c>
      <c r="H114" s="66">
        <v>1</v>
      </c>
      <c r="I114" s="1" t="s">
        <v>611</v>
      </c>
      <c r="J114" s="1" t="s">
        <v>612</v>
      </c>
      <c r="K114" s="1" t="s">
        <v>96</v>
      </c>
      <c r="L114" s="76" t="str">
        <f>IF(M114="","N",STEP!$J$22)</f>
        <v>N</v>
      </c>
      <c r="M114" s="1" t="s">
        <v>11</v>
      </c>
      <c r="N114" s="1" t="s">
        <v>11</v>
      </c>
      <c r="O114" s="1" t="s">
        <v>11</v>
      </c>
      <c r="P114" s="1"/>
      <c r="Q114" s="185">
        <v>20200930</v>
      </c>
      <c r="R114" s="196">
        <v>44104</v>
      </c>
      <c r="S114" s="197">
        <f t="shared" si="127"/>
        <v>24</v>
      </c>
      <c r="T114" s="66">
        <f t="shared" si="128"/>
        <v>3</v>
      </c>
      <c r="U114" s="65" t="s">
        <v>11</v>
      </c>
      <c r="V114" s="70">
        <v>17.294599999999999</v>
      </c>
      <c r="W114" s="74" t="str">
        <f t="shared" si="150"/>
        <v/>
      </c>
      <c r="X114" s="70" t="str" cm="1">
        <f t="array" ref="X114">IF(U114="","",INDEX(STEP!$C:$C,MATCH('Position Control'!M114&amp;'Position Control'!P114,STEP!$A:$A&amp;STEP!$B:$B,0)))</f>
        <v/>
      </c>
      <c r="Y114" s="74" t="str">
        <f t="shared" si="158"/>
        <v/>
      </c>
      <c r="Z114" s="1">
        <v>8810</v>
      </c>
      <c r="AA114" s="112">
        <f>VLOOKUP(Z114,'WRK COMP'!$A$1:$E$17,5,FALSE)</f>
        <v>1.0169999999999999E-3</v>
      </c>
      <c r="AB114" s="76" t="s">
        <v>13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1" t="s">
        <v>28</v>
      </c>
      <c r="AK114" s="1" t="s">
        <v>15</v>
      </c>
      <c r="AL114" s="1" t="s">
        <v>16</v>
      </c>
      <c r="AM114" s="78">
        <f>IF(F114&gt;0.79,IF(ROUNDUP(IF(B114="FS",(V114*HRS!$B$9),(V114*HRS!$L$2))*2,-3)&gt;150000,150000,(ROUNDUP(IF(B114="FS",(V114*HRS!$B$9),(V114*HRS!$L$2))*2,-3))),0)</f>
        <v>72000</v>
      </c>
      <c r="AN114" s="188">
        <f t="shared" ref="AN114:AN120" si="159">SUM(AO114:BB114)</f>
        <v>35973</v>
      </c>
      <c r="AO114" s="77">
        <f>IF(L114="N",IF(B114="FS",ROUNDUP($V114*HRS!$B$9*'Position Control'!F114,0),ROUNDUP('Position Control'!$V114*HRS!$L$2*'Position Control'!F114,0)),IF('Position Control'!B114="FS",ROUNDUP(('Position Control'!V114*HRS!$B$9*'Position Control'!W114*'Position Control'!F114)+('Position Control'!X114*HRS!$B$9*'Position Control'!Y114*'Position Control'!F114),0),ROUNDUP(('Position Control'!V114*HRS!$L$2*'Position Control'!W114*'Position Control'!F114)+('Position Control'!X114*HRS!$L$2*'Position Control'!Y114*'Position Control'!F114),0)))*'Position Control'!H114</f>
        <v>35973</v>
      </c>
      <c r="AP114" s="77">
        <f t="shared" si="131"/>
        <v>0</v>
      </c>
      <c r="AQ114" s="77">
        <f t="shared" si="132"/>
        <v>0</v>
      </c>
      <c r="AR114" s="77">
        <f t="shared" si="133"/>
        <v>0</v>
      </c>
      <c r="AS114" s="77">
        <v>0</v>
      </c>
      <c r="AT114" s="79">
        <f t="shared" si="134"/>
        <v>0</v>
      </c>
      <c r="AU114" s="77">
        <f t="shared" si="135"/>
        <v>0</v>
      </c>
      <c r="AV114" s="77">
        <v>0</v>
      </c>
      <c r="AW114" s="77">
        <f t="shared" si="136"/>
        <v>0</v>
      </c>
      <c r="AX114" s="77">
        <f t="shared" si="137"/>
        <v>0</v>
      </c>
      <c r="AY114" s="77">
        <f t="shared" si="138"/>
        <v>0</v>
      </c>
      <c r="AZ114" s="77">
        <f t="shared" si="139"/>
        <v>0</v>
      </c>
      <c r="BA114" s="77">
        <f t="shared" si="140"/>
        <v>0</v>
      </c>
      <c r="BB114" s="77">
        <f t="shared" si="141"/>
        <v>0</v>
      </c>
      <c r="BC114" s="77">
        <f t="shared" si="152"/>
        <v>0</v>
      </c>
      <c r="BD114" s="77">
        <f t="shared" si="156"/>
        <v>120</v>
      </c>
      <c r="BE114" s="77">
        <v>0</v>
      </c>
      <c r="BF114" s="77">
        <f t="shared" si="142"/>
        <v>86.4</v>
      </c>
      <c r="BG114" s="77">
        <f>VLOOKUP($AJ114,BENE!$I$2:$N$9,6,FALSE)*'Position Control'!$H114</f>
        <v>154</v>
      </c>
      <c r="BH114" s="77">
        <f>VLOOKUP($AK114,BENE!$A$2:$F$19,6,FALSE)*'Position Control'!$H114</f>
        <v>6142</v>
      </c>
      <c r="BI114" s="77">
        <f>VLOOKUP($AK114,BENE!$A$2:$G$19,7,FALSE)*'Position Control'!$H114</f>
        <v>1000</v>
      </c>
      <c r="BJ114" s="77">
        <f>VLOOKUP($AL114,BENE!$P$2:$S$6,4,FALSE)*'Position Control'!$H114</f>
        <v>240</v>
      </c>
      <c r="BK114" s="77">
        <f>IF($F114&gt;HRS!$H$2,ROUNDUP(((($AN114+$BE114)*$BK$3)/12*9)+(($AN114+$BE114)*HRS!$B$10/12*3),0),0)*$H114</f>
        <v>6066</v>
      </c>
      <c r="BL114" s="80">
        <f t="shared" si="143"/>
        <v>37</v>
      </c>
      <c r="BM114" s="77">
        <f t="shared" si="144"/>
        <v>144</v>
      </c>
      <c r="BN114" s="77">
        <f t="shared" si="145"/>
        <v>522</v>
      </c>
      <c r="BO114" s="77">
        <f t="shared" si="146"/>
        <v>65</v>
      </c>
      <c r="BP114" s="77">
        <f t="shared" si="147"/>
        <v>0</v>
      </c>
      <c r="BQ114" s="77">
        <v>0</v>
      </c>
      <c r="BR114" s="80">
        <f t="shared" ref="BR114:BR120" si="160">SUM(AO114:AW114)+SUM(BC114:BQ114)</f>
        <v>50549.4</v>
      </c>
    </row>
    <row r="115" spans="1:70" outlineLevel="1" x14ac:dyDescent="0.35">
      <c r="A115" s="1" t="s">
        <v>6</v>
      </c>
      <c r="B115" s="1" t="s">
        <v>7</v>
      </c>
      <c r="C115" s="1" t="s">
        <v>8</v>
      </c>
      <c r="D115" s="1" t="s">
        <v>71</v>
      </c>
      <c r="E115" s="1" t="s">
        <v>89</v>
      </c>
      <c r="F115" s="2">
        <v>1</v>
      </c>
      <c r="G115" s="66">
        <v>1</v>
      </c>
      <c r="H115" s="66">
        <v>1</v>
      </c>
      <c r="I115" s="1" t="s">
        <v>611</v>
      </c>
      <c r="J115" s="1" t="s">
        <v>612</v>
      </c>
      <c r="K115" s="1" t="s">
        <v>99</v>
      </c>
      <c r="L115" s="76" t="str">
        <f>IF(M115="","N",STEP!$J$22)</f>
        <v>N</v>
      </c>
      <c r="M115" s="1" t="s">
        <v>11</v>
      </c>
      <c r="N115" s="1" t="s">
        <v>11</v>
      </c>
      <c r="O115" s="1" t="s">
        <v>11</v>
      </c>
      <c r="P115" s="1"/>
      <c r="Q115" s="185">
        <v>20141231</v>
      </c>
      <c r="R115" s="196">
        <v>42004</v>
      </c>
      <c r="S115" s="197">
        <f t="shared" si="127"/>
        <v>92</v>
      </c>
      <c r="T115" s="66">
        <f t="shared" si="128"/>
        <v>8</v>
      </c>
      <c r="U115" s="65" t="s">
        <v>11</v>
      </c>
      <c r="V115" s="70">
        <v>22.747199999999999</v>
      </c>
      <c r="W115" s="74" t="str">
        <f t="shared" ref="W115:W155" si="161">IF(U115="","",(1-Y115))</f>
        <v/>
      </c>
      <c r="X115" s="70" t="str" cm="1">
        <f t="array" ref="X115">IF(U115="","",INDEX(STEP!$C:$C,MATCH('Position Control'!M115&amp;'Position Control'!P115,STEP!$A:$A&amp;STEP!$B:$B,0)))</f>
        <v/>
      </c>
      <c r="Y115" s="74" t="str">
        <f t="shared" si="158"/>
        <v/>
      </c>
      <c r="Z115" s="1">
        <v>8810</v>
      </c>
      <c r="AA115" s="112">
        <f>VLOOKUP(Z115,'WRK COMP'!$A$1:$E$17,5,FALSE)</f>
        <v>1.0169999999999999E-3</v>
      </c>
      <c r="AB115" s="76" t="s">
        <v>13</v>
      </c>
      <c r="AC115" s="68">
        <v>0</v>
      </c>
      <c r="AD115" s="68">
        <v>28.85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1" t="s">
        <v>28</v>
      </c>
      <c r="AK115" s="1" t="s">
        <v>35</v>
      </c>
      <c r="AL115" s="1" t="s">
        <v>36</v>
      </c>
      <c r="AM115" s="78">
        <f>IF(F115&gt;0.79,IF(ROUNDUP(IF(B115="FS",(V115*HRS!$B$9),(V115*HRS!$L$2))*2,-3)&gt;150000,150000,(ROUNDUP(IF(B115="FS",(V115*HRS!$B$9),(V115*HRS!$L$2))*2,-3))),0)</f>
        <v>95000</v>
      </c>
      <c r="AN115" s="188">
        <f t="shared" si="159"/>
        <v>48816</v>
      </c>
      <c r="AO115" s="77">
        <f>IF(L115="N",IF(B115="FS",ROUNDUP($V115*HRS!$B$9*'Position Control'!F115,0),ROUNDUP('Position Control'!$V115*HRS!$L$2*'Position Control'!F115,0)),IF('Position Control'!B115="FS",ROUNDUP(('Position Control'!V115*HRS!$B$9*'Position Control'!W115*'Position Control'!F115)+('Position Control'!X115*HRS!$B$9*'Position Control'!Y115*'Position Control'!F115),0),ROUNDUP(('Position Control'!V115*HRS!$L$2*'Position Control'!W115*'Position Control'!F115)+('Position Control'!X115*HRS!$L$2*'Position Control'!Y115*'Position Control'!F115),0)))*'Position Control'!H115</f>
        <v>47315</v>
      </c>
      <c r="AP115" s="77">
        <f t="shared" si="131"/>
        <v>0</v>
      </c>
      <c r="AQ115" s="77">
        <f t="shared" si="132"/>
        <v>1501</v>
      </c>
      <c r="AR115" s="77">
        <f t="shared" si="133"/>
        <v>0</v>
      </c>
      <c r="AS115" s="77">
        <v>0</v>
      </c>
      <c r="AT115" s="79">
        <f t="shared" si="134"/>
        <v>0</v>
      </c>
      <c r="AU115" s="77">
        <f t="shared" si="135"/>
        <v>0</v>
      </c>
      <c r="AV115" s="77">
        <v>0</v>
      </c>
      <c r="AW115" s="77">
        <f t="shared" si="136"/>
        <v>0</v>
      </c>
      <c r="AX115" s="77">
        <f t="shared" si="137"/>
        <v>0</v>
      </c>
      <c r="AY115" s="77">
        <f t="shared" si="138"/>
        <v>0</v>
      </c>
      <c r="AZ115" s="77">
        <f t="shared" si="139"/>
        <v>0</v>
      </c>
      <c r="BA115" s="77">
        <f t="shared" si="140"/>
        <v>0</v>
      </c>
      <c r="BB115" s="77">
        <f t="shared" si="141"/>
        <v>0</v>
      </c>
      <c r="BC115" s="77">
        <f t="shared" si="152"/>
        <v>0</v>
      </c>
      <c r="BD115" s="77">
        <f t="shared" si="156"/>
        <v>460</v>
      </c>
      <c r="BE115" s="77">
        <v>0</v>
      </c>
      <c r="BF115" s="77">
        <f t="shared" si="142"/>
        <v>114</v>
      </c>
      <c r="BG115" s="77">
        <f>VLOOKUP($AJ115,BENE!$I$2:$N$9,6,FALSE)*'Position Control'!$H115</f>
        <v>154</v>
      </c>
      <c r="BH115" s="77">
        <f>VLOOKUP($AK115,BENE!$A$2:$F$19,6,FALSE)*'Position Control'!$H115</f>
        <v>10067</v>
      </c>
      <c r="BI115" s="77">
        <f>VLOOKUP($AK115,BENE!$A$2:$G$19,7,FALSE)*'Position Control'!$H115</f>
        <v>1500</v>
      </c>
      <c r="BJ115" s="77">
        <f>VLOOKUP($AL115,BENE!$P$2:$S$6,4,FALSE)*'Position Control'!$H115</f>
        <v>312</v>
      </c>
      <c r="BK115" s="77">
        <f>IF($F115&gt;HRS!$H$2,ROUNDUP(((($AN115+$BE115)*$BK$3)/12*9)+(($AN115+$BE115)*HRS!$B$10/12*3),0),0)*$H115</f>
        <v>8231</v>
      </c>
      <c r="BL115" s="80">
        <f t="shared" si="143"/>
        <v>50</v>
      </c>
      <c r="BM115" s="77">
        <f t="shared" si="144"/>
        <v>144</v>
      </c>
      <c r="BN115" s="77">
        <f t="shared" si="145"/>
        <v>708</v>
      </c>
      <c r="BO115" s="77">
        <f t="shared" si="146"/>
        <v>88</v>
      </c>
      <c r="BP115" s="77">
        <f t="shared" si="147"/>
        <v>0</v>
      </c>
      <c r="BQ115" s="77">
        <v>0</v>
      </c>
      <c r="BR115" s="80">
        <f t="shared" si="160"/>
        <v>70644</v>
      </c>
    </row>
    <row r="116" spans="1:70" outlineLevel="1" x14ac:dyDescent="0.35">
      <c r="A116" s="1" t="s">
        <v>6</v>
      </c>
      <c r="B116" s="1" t="s">
        <v>7</v>
      </c>
      <c r="C116" s="1" t="s">
        <v>8</v>
      </c>
      <c r="D116" s="1" t="s">
        <v>71</v>
      </c>
      <c r="E116" s="1" t="s">
        <v>89</v>
      </c>
      <c r="F116" s="2">
        <v>1</v>
      </c>
      <c r="G116" s="66">
        <v>1</v>
      </c>
      <c r="H116" s="66">
        <v>1</v>
      </c>
      <c r="I116" s="1" t="s">
        <v>611</v>
      </c>
      <c r="J116" s="1" t="s">
        <v>612</v>
      </c>
      <c r="K116" s="1" t="s">
        <v>91</v>
      </c>
      <c r="L116" s="76" t="str">
        <f>IF(M116="","N",STEP!$J$22)</f>
        <v>N</v>
      </c>
      <c r="M116" s="1" t="s">
        <v>11</v>
      </c>
      <c r="N116" s="1" t="s">
        <v>11</v>
      </c>
      <c r="O116" s="1" t="s">
        <v>11</v>
      </c>
      <c r="P116" s="1"/>
      <c r="Q116" s="185">
        <v>20131218</v>
      </c>
      <c r="R116" s="196">
        <v>41626</v>
      </c>
      <c r="S116" s="197">
        <f t="shared" si="127"/>
        <v>105</v>
      </c>
      <c r="T116" s="66">
        <f t="shared" si="128"/>
        <v>9</v>
      </c>
      <c r="U116" s="65" t="s">
        <v>11</v>
      </c>
      <c r="V116" s="70">
        <v>23.09</v>
      </c>
      <c r="W116" s="74" t="str">
        <f t="shared" si="161"/>
        <v/>
      </c>
      <c r="X116" s="70" t="str" cm="1">
        <f t="array" ref="X116">IF(U116="","",INDEX(STEP!$C:$C,MATCH('Position Control'!M116&amp;'Position Control'!P116,STEP!$A:$A&amp;STEP!$B:$B,0)))</f>
        <v/>
      </c>
      <c r="Y116" s="74" t="str">
        <f t="shared" si="158"/>
        <v/>
      </c>
      <c r="Z116" s="1">
        <v>8810</v>
      </c>
      <c r="AA116" s="112">
        <f>VLOOKUP(Z116,'WRK COMP'!$A$1:$E$17,5,FALSE)</f>
        <v>1.0169999999999999E-3</v>
      </c>
      <c r="AB116" s="76" t="s">
        <v>13</v>
      </c>
      <c r="AC116" s="68">
        <v>0</v>
      </c>
      <c r="AD116" s="68">
        <v>28.85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1" t="s">
        <v>28</v>
      </c>
      <c r="AK116" s="1" t="s">
        <v>43</v>
      </c>
      <c r="AL116" s="10" t="s">
        <v>49</v>
      </c>
      <c r="AM116" s="78">
        <f>IF(F116&gt;0.79,IF(ROUNDUP(IF(B116="FS",(V116*HRS!$B$9),(V116*HRS!$L$2))*2,-3)&gt;150000,150000,(ROUNDUP(IF(B116="FS",(V116*HRS!$B$9),(V116*HRS!$L$2))*2,-3))),0)</f>
        <v>97000</v>
      </c>
      <c r="AN116" s="188">
        <f t="shared" si="159"/>
        <v>49529</v>
      </c>
      <c r="AO116" s="77">
        <f>IF(L116="N",IF(B116="FS",ROUNDUP($V116*HRS!$B$9*'Position Control'!F116,0),ROUNDUP('Position Control'!$V116*HRS!$L$2*'Position Control'!F116,0)),IF('Position Control'!B116="FS",ROUNDUP(('Position Control'!V116*HRS!$B$9*'Position Control'!W116*'Position Control'!F116)+('Position Control'!X116*HRS!$B$9*'Position Control'!Y116*'Position Control'!F116),0),ROUNDUP(('Position Control'!V116*HRS!$L$2*'Position Control'!W116*'Position Control'!F116)+('Position Control'!X116*HRS!$L$2*'Position Control'!Y116*'Position Control'!F116),0)))*'Position Control'!H116</f>
        <v>48028</v>
      </c>
      <c r="AP116" s="77">
        <f t="shared" si="131"/>
        <v>0</v>
      </c>
      <c r="AQ116" s="77">
        <f t="shared" si="132"/>
        <v>1501</v>
      </c>
      <c r="AR116" s="77">
        <f t="shared" si="133"/>
        <v>0</v>
      </c>
      <c r="AS116" s="77">
        <v>0</v>
      </c>
      <c r="AT116" s="79">
        <f t="shared" si="134"/>
        <v>0</v>
      </c>
      <c r="AU116" s="77">
        <f t="shared" si="135"/>
        <v>0</v>
      </c>
      <c r="AV116" s="77">
        <v>0</v>
      </c>
      <c r="AW116" s="77">
        <f t="shared" si="136"/>
        <v>0</v>
      </c>
      <c r="AX116" s="77">
        <f t="shared" si="137"/>
        <v>0</v>
      </c>
      <c r="AY116" s="77">
        <f t="shared" si="138"/>
        <v>0</v>
      </c>
      <c r="AZ116" s="77">
        <f t="shared" si="139"/>
        <v>0</v>
      </c>
      <c r="BA116" s="77">
        <f t="shared" si="140"/>
        <v>0</v>
      </c>
      <c r="BB116" s="77">
        <f t="shared" si="141"/>
        <v>0</v>
      </c>
      <c r="BC116" s="77">
        <f t="shared" si="152"/>
        <v>0</v>
      </c>
      <c r="BD116" s="77">
        <f t="shared" si="156"/>
        <v>525</v>
      </c>
      <c r="BE116" s="77">
        <v>0</v>
      </c>
      <c r="BF116" s="77">
        <f t="shared" si="142"/>
        <v>116.4</v>
      </c>
      <c r="BG116" s="77">
        <f>VLOOKUP($AJ116,BENE!$I$2:$N$9,6,FALSE)*'Position Control'!$H116</f>
        <v>154</v>
      </c>
      <c r="BH116" s="77">
        <f>VLOOKUP($AK116,BENE!$A$2:$F$19,6,FALSE)*'Position Control'!$H116</f>
        <v>6870</v>
      </c>
      <c r="BI116" s="77">
        <f>VLOOKUP($AK116,BENE!$A$2:$G$19,7,FALSE)*'Position Control'!$H116</f>
        <v>0</v>
      </c>
      <c r="BJ116" s="77">
        <f>VLOOKUP($AL116,BENE!$P$2:$S$6,4,FALSE)*'Position Control'!$H116</f>
        <v>0</v>
      </c>
      <c r="BK116" s="77">
        <f>IF($F116&gt;HRS!$H$2,ROUNDUP(((($AN116+$BE116)*$BK$3)/12*9)+(($AN116+$BE116)*HRS!$B$10/12*3),0),0)*$H116</f>
        <v>8351</v>
      </c>
      <c r="BL116" s="80">
        <f t="shared" si="143"/>
        <v>51</v>
      </c>
      <c r="BM116" s="77">
        <f t="shared" si="144"/>
        <v>144</v>
      </c>
      <c r="BN116" s="77">
        <f t="shared" si="145"/>
        <v>719</v>
      </c>
      <c r="BO116" s="77">
        <f t="shared" si="146"/>
        <v>89</v>
      </c>
      <c r="BP116" s="77">
        <f t="shared" si="147"/>
        <v>0</v>
      </c>
      <c r="BQ116" s="77">
        <v>0</v>
      </c>
      <c r="BR116" s="80">
        <f t="shared" si="160"/>
        <v>66548.399999999994</v>
      </c>
    </row>
    <row r="117" spans="1:70" outlineLevel="1" x14ac:dyDescent="0.35">
      <c r="A117" s="1" t="s">
        <v>6</v>
      </c>
      <c r="B117" s="1" t="s">
        <v>7</v>
      </c>
      <c r="C117" s="1" t="s">
        <v>8</v>
      </c>
      <c r="D117" s="1" t="s">
        <v>71</v>
      </c>
      <c r="E117" s="1" t="s">
        <v>89</v>
      </c>
      <c r="F117" s="2">
        <v>1</v>
      </c>
      <c r="G117" s="66">
        <v>1</v>
      </c>
      <c r="H117" s="66">
        <v>1</v>
      </c>
      <c r="I117" s="1" t="s">
        <v>411</v>
      </c>
      <c r="J117" s="1" t="s">
        <v>408</v>
      </c>
      <c r="K117" s="1" t="s">
        <v>103</v>
      </c>
      <c r="L117" s="76" t="str">
        <f>IF(M117="","N",STEP!$J$22)</f>
        <v>N</v>
      </c>
      <c r="M117" s="1" t="s">
        <v>11</v>
      </c>
      <c r="N117" s="1" t="s">
        <v>11</v>
      </c>
      <c r="O117" s="1" t="s">
        <v>11</v>
      </c>
      <c r="P117" s="1"/>
      <c r="Q117" s="185">
        <v>20221002</v>
      </c>
      <c r="R117" s="196">
        <v>44836</v>
      </c>
      <c r="S117" s="197">
        <f t="shared" si="127"/>
        <v>0</v>
      </c>
      <c r="T117" s="66">
        <f t="shared" si="128"/>
        <v>0</v>
      </c>
      <c r="U117" s="65" t="s">
        <v>11</v>
      </c>
      <c r="V117" s="70">
        <v>18.6936</v>
      </c>
      <c r="W117" s="74" t="str">
        <f t="shared" si="161"/>
        <v/>
      </c>
      <c r="X117" s="70" t="str" cm="1">
        <f t="array" ref="X117">IF(U117="","",INDEX(STEP!$C:$C,MATCH('Position Control'!M117&amp;'Position Control'!P117,STEP!$A:$A&amp;STEP!$B:$B,0)))</f>
        <v/>
      </c>
      <c r="Y117" s="74" t="str">
        <f t="shared" si="158"/>
        <v/>
      </c>
      <c r="Z117" s="1">
        <v>8810</v>
      </c>
      <c r="AA117" s="112">
        <f>VLOOKUP(Z117,'WRK COMP'!$A$1:$E$17,5,FALSE)</f>
        <v>1.0169999999999999E-3</v>
      </c>
      <c r="AB117" s="76" t="s">
        <v>13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10" t="s">
        <v>14</v>
      </c>
      <c r="AK117" s="1" t="s">
        <v>15</v>
      </c>
      <c r="AL117" s="10" t="s">
        <v>16</v>
      </c>
      <c r="AM117" s="78">
        <f>IF(F117&gt;0.79,IF(ROUNDUP(IF(B117="FS",(V117*HRS!$B$9),(V117*HRS!$L$2))*2,-3)&gt;150000,150000,(ROUNDUP(IF(B117="FS",(V117*HRS!$B$9),(V117*HRS!$L$2))*2,-3))),0)</f>
        <v>78000</v>
      </c>
      <c r="AN117" s="188">
        <f t="shared" si="159"/>
        <v>38883</v>
      </c>
      <c r="AO117" s="77">
        <f>IF(L117="N",IF(B117="FS",ROUNDUP($V117*HRS!$B$9*'Position Control'!F117,0),ROUNDUP('Position Control'!$V117*HRS!$L$2*'Position Control'!F117,0)),IF('Position Control'!B117="FS",ROUNDUP(('Position Control'!V117*HRS!$B$9*'Position Control'!W117*'Position Control'!F117)+('Position Control'!X117*HRS!$B$9*'Position Control'!Y117*'Position Control'!F117),0),ROUNDUP(('Position Control'!V117*HRS!$L$2*'Position Control'!W117*'Position Control'!F117)+('Position Control'!X117*HRS!$L$2*'Position Control'!Y117*'Position Control'!F117),0)))*'Position Control'!H117</f>
        <v>38883</v>
      </c>
      <c r="AP117" s="77">
        <f t="shared" si="131"/>
        <v>0</v>
      </c>
      <c r="AQ117" s="77">
        <f t="shared" si="132"/>
        <v>0</v>
      </c>
      <c r="AR117" s="77">
        <f t="shared" si="133"/>
        <v>0</v>
      </c>
      <c r="AS117" s="77">
        <v>0</v>
      </c>
      <c r="AT117" s="79">
        <f t="shared" si="134"/>
        <v>0</v>
      </c>
      <c r="AU117" s="77">
        <f t="shared" si="135"/>
        <v>0</v>
      </c>
      <c r="AV117" s="77">
        <v>0</v>
      </c>
      <c r="AW117" s="77">
        <f t="shared" si="136"/>
        <v>0</v>
      </c>
      <c r="AX117" s="77">
        <f t="shared" si="137"/>
        <v>0</v>
      </c>
      <c r="AY117" s="77">
        <f t="shared" si="138"/>
        <v>0</v>
      </c>
      <c r="AZ117" s="77">
        <f t="shared" si="139"/>
        <v>0</v>
      </c>
      <c r="BA117" s="77">
        <f t="shared" si="140"/>
        <v>0</v>
      </c>
      <c r="BB117" s="77">
        <f t="shared" si="141"/>
        <v>0</v>
      </c>
      <c r="BC117" s="77">
        <f t="shared" si="152"/>
        <v>0</v>
      </c>
      <c r="BD117" s="77">
        <f t="shared" si="156"/>
        <v>0</v>
      </c>
      <c r="BE117" s="77">
        <v>0</v>
      </c>
      <c r="BF117" s="77">
        <f t="shared" si="142"/>
        <v>93.600000000000009</v>
      </c>
      <c r="BG117" s="77">
        <f>VLOOKUP($AJ117,BENE!$I$2:$N$9,6,FALSE)*'Position Control'!$H117</f>
        <v>389</v>
      </c>
      <c r="BH117" s="77">
        <f>VLOOKUP($AK117,BENE!$A$2:$F$19,6,FALSE)*'Position Control'!$H117</f>
        <v>6142</v>
      </c>
      <c r="BI117" s="77">
        <f>VLOOKUP($AK117,BENE!$A$2:$G$19,7,FALSE)*'Position Control'!$H117</f>
        <v>1000</v>
      </c>
      <c r="BJ117" s="77">
        <f>VLOOKUP($AL117,BENE!$P$2:$S$6,4,FALSE)*'Position Control'!$H117</f>
        <v>240</v>
      </c>
      <c r="BK117" s="77">
        <f>IF($F117&gt;HRS!$H$2,ROUNDUP(((($AN117+$BE117)*$BK$3)/12*9)+(($AN117+$BE117)*HRS!$B$10/12*3),0),0)*$H117</f>
        <v>6556</v>
      </c>
      <c r="BL117" s="80">
        <f t="shared" si="143"/>
        <v>40</v>
      </c>
      <c r="BM117" s="77">
        <f t="shared" si="144"/>
        <v>144</v>
      </c>
      <c r="BN117" s="77">
        <f t="shared" si="145"/>
        <v>564</v>
      </c>
      <c r="BO117" s="77">
        <f t="shared" si="146"/>
        <v>70</v>
      </c>
      <c r="BP117" s="77">
        <f t="shared" si="147"/>
        <v>0</v>
      </c>
      <c r="BQ117" s="77">
        <v>0</v>
      </c>
      <c r="BR117" s="80">
        <f t="shared" si="160"/>
        <v>54121.599999999999</v>
      </c>
    </row>
    <row r="118" spans="1:70" outlineLevel="1" x14ac:dyDescent="0.35">
      <c r="A118" s="1" t="s">
        <v>6</v>
      </c>
      <c r="B118" s="1" t="s">
        <v>7</v>
      </c>
      <c r="C118" s="1" t="s">
        <v>8</v>
      </c>
      <c r="D118" s="1" t="s">
        <v>71</v>
      </c>
      <c r="E118" s="1" t="s">
        <v>89</v>
      </c>
      <c r="F118" s="2">
        <v>1</v>
      </c>
      <c r="G118" s="66">
        <v>1</v>
      </c>
      <c r="H118" s="66">
        <v>1</v>
      </c>
      <c r="I118" s="1" t="s">
        <v>611</v>
      </c>
      <c r="J118" s="1" t="s">
        <v>612</v>
      </c>
      <c r="K118" s="1" t="s">
        <v>97</v>
      </c>
      <c r="L118" s="76" t="str">
        <f>IF(M118="","N",STEP!$J$22)</f>
        <v>N</v>
      </c>
      <c r="M118" s="1" t="s">
        <v>11</v>
      </c>
      <c r="N118" s="1" t="s">
        <v>11</v>
      </c>
      <c r="O118" s="1" t="s">
        <v>11</v>
      </c>
      <c r="P118" s="1"/>
      <c r="Q118" s="185">
        <v>20190626</v>
      </c>
      <c r="R118" s="196">
        <v>43642</v>
      </c>
      <c r="S118" s="197">
        <f t="shared" si="127"/>
        <v>39</v>
      </c>
      <c r="T118" s="66">
        <f t="shared" si="128"/>
        <v>4</v>
      </c>
      <c r="U118" s="65" t="s">
        <v>11</v>
      </c>
      <c r="V118" s="70">
        <v>19.2544</v>
      </c>
      <c r="W118" s="74" t="str">
        <f t="shared" si="161"/>
        <v/>
      </c>
      <c r="X118" s="70" t="str" cm="1">
        <f t="array" ref="X118">IF(U118="","",INDEX(STEP!$C:$C,MATCH('Position Control'!M118&amp;'Position Control'!P118,STEP!$A:$A&amp;STEP!$B:$B,0)))</f>
        <v/>
      </c>
      <c r="Y118" s="74" t="str">
        <f t="shared" si="158"/>
        <v/>
      </c>
      <c r="Z118" s="1">
        <v>8810</v>
      </c>
      <c r="AA118" s="112">
        <f>VLOOKUP(Z118,'WRK COMP'!$A$1:$E$17,5,FALSE)</f>
        <v>1.0169999999999999E-3</v>
      </c>
      <c r="AB118" s="76" t="s">
        <v>13</v>
      </c>
      <c r="AC118" s="68">
        <v>0</v>
      </c>
      <c r="AD118" s="68">
        <v>28.86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1" t="s">
        <v>28</v>
      </c>
      <c r="AK118" s="1" t="s">
        <v>43</v>
      </c>
      <c r="AL118" s="10" t="s">
        <v>49</v>
      </c>
      <c r="AM118" s="78">
        <f>IF(F118&gt;0.79,IF(ROUNDUP(IF(B118="FS",(V118*HRS!$B$9),(V118*HRS!$L$2))*2,-3)&gt;150000,150000,(ROUNDUP(IF(B118="FS",(V118*HRS!$B$9),(V118*HRS!$L$2))*2,-3))),0)</f>
        <v>81000</v>
      </c>
      <c r="AN118" s="188">
        <f t="shared" si="159"/>
        <v>41551</v>
      </c>
      <c r="AO118" s="77">
        <f>IF(L118="N",IF(B118="FS",ROUNDUP($V118*HRS!$B$9*'Position Control'!F118,0),ROUNDUP('Position Control'!$V118*HRS!$L$2*'Position Control'!F118,0)),IF('Position Control'!B118="FS",ROUNDUP(('Position Control'!V118*HRS!$B$9*'Position Control'!W118*'Position Control'!F118)+('Position Control'!X118*HRS!$B$9*'Position Control'!Y118*'Position Control'!F118),0),ROUNDUP(('Position Control'!V118*HRS!$L$2*'Position Control'!W118*'Position Control'!F118)+('Position Control'!X118*HRS!$L$2*'Position Control'!Y118*'Position Control'!F118),0)))*'Position Control'!H118</f>
        <v>40050</v>
      </c>
      <c r="AP118" s="77">
        <f t="shared" si="131"/>
        <v>0</v>
      </c>
      <c r="AQ118" s="77">
        <f t="shared" si="132"/>
        <v>1501</v>
      </c>
      <c r="AR118" s="77">
        <f t="shared" si="133"/>
        <v>0</v>
      </c>
      <c r="AS118" s="77">
        <v>0</v>
      </c>
      <c r="AT118" s="79">
        <f t="shared" si="134"/>
        <v>0</v>
      </c>
      <c r="AU118" s="77">
        <f t="shared" si="135"/>
        <v>0</v>
      </c>
      <c r="AV118" s="77">
        <v>0</v>
      </c>
      <c r="AW118" s="77">
        <f t="shared" si="136"/>
        <v>0</v>
      </c>
      <c r="AX118" s="77">
        <f t="shared" si="137"/>
        <v>0</v>
      </c>
      <c r="AY118" s="77">
        <f t="shared" si="138"/>
        <v>0</v>
      </c>
      <c r="AZ118" s="77">
        <f t="shared" si="139"/>
        <v>0</v>
      </c>
      <c r="BA118" s="77">
        <f t="shared" si="140"/>
        <v>0</v>
      </c>
      <c r="BB118" s="77">
        <f t="shared" si="141"/>
        <v>0</v>
      </c>
      <c r="BC118" s="77">
        <f t="shared" si="152"/>
        <v>0</v>
      </c>
      <c r="BD118" s="77">
        <f t="shared" si="156"/>
        <v>195</v>
      </c>
      <c r="BE118" s="77">
        <v>0</v>
      </c>
      <c r="BF118" s="77">
        <f t="shared" si="142"/>
        <v>97.199999999999989</v>
      </c>
      <c r="BG118" s="77">
        <f>VLOOKUP($AJ118,BENE!$I$2:$N$9,6,FALSE)*'Position Control'!$H118</f>
        <v>154</v>
      </c>
      <c r="BH118" s="77">
        <f>VLOOKUP($AK118,BENE!$A$2:$F$19,6,FALSE)*'Position Control'!$H118</f>
        <v>6870</v>
      </c>
      <c r="BI118" s="77">
        <f>VLOOKUP($AK118,BENE!$A$2:$G$19,7,FALSE)*'Position Control'!$H118</f>
        <v>0</v>
      </c>
      <c r="BJ118" s="77">
        <f>VLOOKUP($AL118,BENE!$P$2:$S$6,4,FALSE)*'Position Control'!$H118</f>
        <v>0</v>
      </c>
      <c r="BK118" s="77">
        <f>IF($F118&gt;HRS!$H$2,ROUNDUP(((($AN118+$BE118)*$BK$3)/12*9)+(($AN118+$BE118)*HRS!$B$10/12*3),0),0)*$H118</f>
        <v>7006</v>
      </c>
      <c r="BL118" s="80">
        <f t="shared" si="143"/>
        <v>43</v>
      </c>
      <c r="BM118" s="77">
        <f t="shared" si="144"/>
        <v>144</v>
      </c>
      <c r="BN118" s="77">
        <f t="shared" si="145"/>
        <v>603</v>
      </c>
      <c r="BO118" s="77">
        <f t="shared" si="146"/>
        <v>75</v>
      </c>
      <c r="BP118" s="77">
        <f t="shared" si="147"/>
        <v>0</v>
      </c>
      <c r="BQ118" s="77">
        <v>0</v>
      </c>
      <c r="BR118" s="80">
        <f t="shared" si="160"/>
        <v>56738.2</v>
      </c>
    </row>
    <row r="119" spans="1:70" outlineLevel="1" x14ac:dyDescent="0.35">
      <c r="A119" s="1" t="s">
        <v>6</v>
      </c>
      <c r="B119" s="1" t="s">
        <v>7</v>
      </c>
      <c r="C119" s="1" t="s">
        <v>8</v>
      </c>
      <c r="D119" s="1" t="s">
        <v>71</v>
      </c>
      <c r="E119" s="1" t="s">
        <v>89</v>
      </c>
      <c r="F119" s="2">
        <v>1</v>
      </c>
      <c r="G119" s="66">
        <v>1</v>
      </c>
      <c r="H119" s="66">
        <v>1</v>
      </c>
      <c r="I119" s="1" t="s">
        <v>611</v>
      </c>
      <c r="J119" s="1" t="s">
        <v>612</v>
      </c>
      <c r="K119" s="1" t="s">
        <v>95</v>
      </c>
      <c r="L119" s="76" t="str">
        <f>IF(M119="","N",STEP!$J$22)</f>
        <v>N</v>
      </c>
      <c r="M119" s="1" t="s">
        <v>11</v>
      </c>
      <c r="N119" s="1" t="s">
        <v>11</v>
      </c>
      <c r="O119" s="1" t="s">
        <v>11</v>
      </c>
      <c r="P119" s="1"/>
      <c r="Q119" s="185">
        <v>20061102</v>
      </c>
      <c r="R119" s="196">
        <v>39023</v>
      </c>
      <c r="S119" s="197">
        <f t="shared" si="127"/>
        <v>190</v>
      </c>
      <c r="T119" s="66">
        <f t="shared" si="128"/>
        <v>16</v>
      </c>
      <c r="U119" s="65" t="s">
        <v>11</v>
      </c>
      <c r="V119" s="70">
        <v>28.469200000000001</v>
      </c>
      <c r="W119" s="74" t="str">
        <f t="shared" si="161"/>
        <v/>
      </c>
      <c r="X119" s="70" t="str" cm="1">
        <f t="array" ref="X119">IF(U119="","",INDEX(STEP!$C:$C,MATCH('Position Control'!M119&amp;'Position Control'!P119,STEP!$A:$A&amp;STEP!$B:$B,0)))</f>
        <v/>
      </c>
      <c r="Y119" s="74" t="str">
        <f t="shared" si="158"/>
        <v/>
      </c>
      <c r="Z119" s="1">
        <v>8810</v>
      </c>
      <c r="AA119" s="112">
        <f>VLOOKUP(Z119,'WRK COMP'!$A$1:$E$17,5,FALSE)</f>
        <v>1.0169999999999999E-3</v>
      </c>
      <c r="AB119" s="76" t="s">
        <v>13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1" t="s">
        <v>14</v>
      </c>
      <c r="AK119" s="1" t="s">
        <v>15</v>
      </c>
      <c r="AL119" s="10" t="s">
        <v>49</v>
      </c>
      <c r="AM119" s="78">
        <f>IF(F119&gt;0.79,IF(ROUNDUP(IF(B119="FS",(V119*HRS!$B$9),(V119*HRS!$L$2))*2,-3)&gt;150000,150000,(ROUNDUP(IF(B119="FS",(V119*HRS!$B$9),(V119*HRS!$L$2))*2,-3))),0)</f>
        <v>119000</v>
      </c>
      <c r="AN119" s="188">
        <f t="shared" si="159"/>
        <v>59216</v>
      </c>
      <c r="AO119" s="77">
        <f>IF(L119="N",IF(B119="FS",ROUNDUP($V119*HRS!$B$9*'Position Control'!F119,0),ROUNDUP('Position Control'!$V119*HRS!$L$2*'Position Control'!F119,0)),IF('Position Control'!B119="FS",ROUNDUP(('Position Control'!V119*HRS!$B$9*'Position Control'!W119*'Position Control'!F119)+('Position Control'!X119*HRS!$B$9*'Position Control'!Y119*'Position Control'!F119),0),ROUNDUP(('Position Control'!V119*HRS!$L$2*'Position Control'!W119*'Position Control'!F119)+('Position Control'!X119*HRS!$L$2*'Position Control'!Y119*'Position Control'!F119),0)))*'Position Control'!H119</f>
        <v>59216</v>
      </c>
      <c r="AP119" s="77">
        <f t="shared" si="131"/>
        <v>0</v>
      </c>
      <c r="AQ119" s="77">
        <f t="shared" si="132"/>
        <v>0</v>
      </c>
      <c r="AR119" s="77">
        <f t="shared" si="133"/>
        <v>0</v>
      </c>
      <c r="AS119" s="77">
        <v>0</v>
      </c>
      <c r="AT119" s="79">
        <f t="shared" si="134"/>
        <v>0</v>
      </c>
      <c r="AU119" s="77">
        <f t="shared" si="135"/>
        <v>0</v>
      </c>
      <c r="AV119" s="77">
        <v>0</v>
      </c>
      <c r="AW119" s="77">
        <f t="shared" si="136"/>
        <v>0</v>
      </c>
      <c r="AX119" s="77">
        <f t="shared" si="137"/>
        <v>0</v>
      </c>
      <c r="AY119" s="77">
        <f t="shared" si="138"/>
        <v>0</v>
      </c>
      <c r="AZ119" s="77">
        <f t="shared" si="139"/>
        <v>0</v>
      </c>
      <c r="BA119" s="77">
        <f t="shared" si="140"/>
        <v>0</v>
      </c>
      <c r="BB119" s="77">
        <f t="shared" si="141"/>
        <v>0</v>
      </c>
      <c r="BC119" s="77">
        <f t="shared" si="152"/>
        <v>0</v>
      </c>
      <c r="BD119" s="77">
        <f t="shared" si="156"/>
        <v>950</v>
      </c>
      <c r="BE119" s="77">
        <v>0</v>
      </c>
      <c r="BF119" s="77">
        <f t="shared" si="142"/>
        <v>142.80000000000001</v>
      </c>
      <c r="BG119" s="77">
        <f>VLOOKUP($AJ119,BENE!$I$2:$N$9,6,FALSE)*'Position Control'!$H119</f>
        <v>389</v>
      </c>
      <c r="BH119" s="77">
        <f>VLOOKUP($AK119,BENE!$A$2:$F$19,6,FALSE)*'Position Control'!$H119</f>
        <v>6142</v>
      </c>
      <c r="BI119" s="77">
        <f>VLOOKUP($AK119,BENE!$A$2:$G$19,7,FALSE)*'Position Control'!$H119</f>
        <v>1000</v>
      </c>
      <c r="BJ119" s="77">
        <f>VLOOKUP($AL119,BENE!$P$2:$S$6,4,FALSE)*'Position Control'!$H119</f>
        <v>0</v>
      </c>
      <c r="BK119" s="77">
        <f>IF($F119&gt;HRS!$H$2,ROUNDUP(((($AN119+$BE119)*$BK$3)/12*9)+(($AN119+$BE119)*HRS!$B$10/12*3),0),0)*$H119</f>
        <v>9984</v>
      </c>
      <c r="BL119" s="80">
        <f t="shared" si="143"/>
        <v>61</v>
      </c>
      <c r="BM119" s="77">
        <f t="shared" si="144"/>
        <v>144</v>
      </c>
      <c r="BN119" s="77">
        <f t="shared" si="145"/>
        <v>859</v>
      </c>
      <c r="BO119" s="77">
        <f t="shared" si="146"/>
        <v>107</v>
      </c>
      <c r="BP119" s="77">
        <f t="shared" si="147"/>
        <v>1500</v>
      </c>
      <c r="BQ119" s="77">
        <v>0</v>
      </c>
      <c r="BR119" s="80">
        <f t="shared" si="160"/>
        <v>80494.8</v>
      </c>
    </row>
    <row r="120" spans="1:70" outlineLevel="1" x14ac:dyDescent="0.35">
      <c r="A120" s="1" t="s">
        <v>6</v>
      </c>
      <c r="B120" s="1" t="s">
        <v>7</v>
      </c>
      <c r="C120" s="1" t="s">
        <v>8</v>
      </c>
      <c r="D120" s="1" t="s">
        <v>71</v>
      </c>
      <c r="E120" s="1" t="s">
        <v>89</v>
      </c>
      <c r="F120" s="2">
        <v>1</v>
      </c>
      <c r="G120" s="66">
        <v>0</v>
      </c>
      <c r="H120" s="66">
        <v>1</v>
      </c>
      <c r="I120" s="10" t="s">
        <v>409</v>
      </c>
      <c r="J120" s="10" t="s">
        <v>410</v>
      </c>
      <c r="K120" s="1"/>
      <c r="L120" s="76" t="str">
        <f>IF(M120="","N",STEP!$J$22)</f>
        <v>N</v>
      </c>
      <c r="M120" s="1"/>
      <c r="N120" s="1"/>
      <c r="O120" s="1"/>
      <c r="P120" s="1"/>
      <c r="Q120" s="185">
        <v>20221002</v>
      </c>
      <c r="R120" s="196">
        <v>44836</v>
      </c>
      <c r="S120" s="197">
        <f t="shared" si="127"/>
        <v>0</v>
      </c>
      <c r="T120" s="66">
        <f t="shared" si="128"/>
        <v>0</v>
      </c>
      <c r="U120" s="1"/>
      <c r="V120" s="70">
        <v>0</v>
      </c>
      <c r="W120" s="74" t="str">
        <f t="shared" si="161"/>
        <v/>
      </c>
      <c r="X120" s="70"/>
      <c r="Y120" s="74" t="str">
        <f t="shared" si="158"/>
        <v/>
      </c>
      <c r="Z120" s="1">
        <v>7720</v>
      </c>
      <c r="AA120" s="112">
        <f>VLOOKUP(Z120,'WRK COMP'!$A$1:$E$17,5,FALSE)</f>
        <v>1.1011E-2</v>
      </c>
      <c r="AB120" s="76" t="s">
        <v>13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10" t="s">
        <v>49</v>
      </c>
      <c r="AK120" s="10" t="s">
        <v>49</v>
      </c>
      <c r="AL120" s="10" t="s">
        <v>49</v>
      </c>
      <c r="AM120" s="78">
        <f>IF(F120&gt;0.79,IF(ROUNDUP(IF(B120="FS",(V120*HRS!$B$9),(V120*HRS!$L$2))*2,-3)&gt;150000,150000,(ROUNDUP(IF(B120="FS",(V120*HRS!$B$9),(V120*HRS!$L$2))*2,-3))),0)</f>
        <v>0</v>
      </c>
      <c r="AN120" s="188">
        <f t="shared" si="159"/>
        <v>104800</v>
      </c>
      <c r="AO120" s="77">
        <f>IF(L120="N",IF(B120="FS",ROUNDUP($V120*HRS!$B$9*'Position Control'!F120,0),ROUNDUP('Position Control'!$V120*HRS!$L$2*'Position Control'!F120,0)),IF('Position Control'!B120="FS",ROUNDUP(('Position Control'!V120*HRS!$B$9*'Position Control'!W120*'Position Control'!F120)+('Position Control'!X120*HRS!$B$9*'Position Control'!Y120*'Position Control'!F120),0),ROUNDUP(('Position Control'!V120*HRS!$L$2*'Position Control'!W120*'Position Control'!F120)+('Position Control'!X120*HRS!$L$2*'Position Control'!Y120*'Position Control'!F120),0)))*'Position Control'!H120</f>
        <v>0</v>
      </c>
      <c r="AP120" s="77">
        <f t="shared" si="131"/>
        <v>0</v>
      </c>
      <c r="AQ120" s="77">
        <f t="shared" si="132"/>
        <v>0</v>
      </c>
      <c r="AR120" s="77">
        <f t="shared" si="133"/>
        <v>0</v>
      </c>
      <c r="AS120" s="77">
        <f>'DIVISION BUDGETS'!B22</f>
        <v>6000</v>
      </c>
      <c r="AT120" s="79">
        <f t="shared" si="134"/>
        <v>0</v>
      </c>
      <c r="AU120" s="77">
        <f t="shared" si="135"/>
        <v>0</v>
      </c>
      <c r="AV120" s="77">
        <f>'DIVISION BUDGETS'!C22</f>
        <v>98800</v>
      </c>
      <c r="AW120" s="77">
        <f t="shared" si="136"/>
        <v>0</v>
      </c>
      <c r="AX120" s="77">
        <f t="shared" si="137"/>
        <v>0</v>
      </c>
      <c r="AY120" s="77">
        <f t="shared" si="138"/>
        <v>0</v>
      </c>
      <c r="AZ120" s="77">
        <f t="shared" si="139"/>
        <v>0</v>
      </c>
      <c r="BA120" s="77">
        <f t="shared" si="140"/>
        <v>0</v>
      </c>
      <c r="BB120" s="77">
        <f t="shared" si="141"/>
        <v>0</v>
      </c>
      <c r="BC120" s="77">
        <f t="shared" si="152"/>
        <v>0</v>
      </c>
      <c r="BD120" s="77">
        <f t="shared" si="156"/>
        <v>0</v>
      </c>
      <c r="BE120" s="77">
        <f>'DIVISION BUDGETS'!D22</f>
        <v>273300</v>
      </c>
      <c r="BF120" s="77">
        <f t="shared" si="142"/>
        <v>0</v>
      </c>
      <c r="BG120" s="77">
        <f>VLOOKUP($AJ120,BENE!$I$2:$N$9,6,FALSE)*'Position Control'!$H120</f>
        <v>0</v>
      </c>
      <c r="BH120" s="77">
        <f>VLOOKUP($AK120,BENE!$A$2:$F$19,6,FALSE)*'Position Control'!$H120</f>
        <v>0</v>
      </c>
      <c r="BI120" s="77">
        <f>VLOOKUP($AK120,BENE!$A$2:$G$19,7,FALSE)*'Position Control'!$H120</f>
        <v>0</v>
      </c>
      <c r="BJ120" s="77">
        <f>VLOOKUP($AL120,BENE!$P$2:$S$6,4,FALSE)*'Position Control'!$H120</f>
        <v>0</v>
      </c>
      <c r="BK120" s="77">
        <f>IF($F120&gt;HRS!$H$2,ROUNDUP(((($AN120+$BE120)*$BK$3)/12*9)+(($AN120+$BE120)*HRS!$B$10/12*3),0),0)*$H120</f>
        <v>63748</v>
      </c>
      <c r="BL120" s="80">
        <f t="shared" si="143"/>
        <v>1154</v>
      </c>
      <c r="BM120" s="77">
        <f t="shared" si="144"/>
        <v>144</v>
      </c>
      <c r="BN120" s="77">
        <f t="shared" si="145"/>
        <v>1520</v>
      </c>
      <c r="BO120" s="77">
        <f t="shared" si="146"/>
        <v>189</v>
      </c>
      <c r="BP120" s="77">
        <f t="shared" si="147"/>
        <v>0</v>
      </c>
      <c r="BQ120" s="77">
        <f>'DIVISION BUDGETS'!G22</f>
        <v>108630</v>
      </c>
      <c r="BR120" s="80">
        <f t="shared" si="160"/>
        <v>553485</v>
      </c>
    </row>
    <row r="121" spans="1:70" s="171" customFormat="1" x14ac:dyDescent="0.35">
      <c r="A121" s="161"/>
      <c r="B121" s="161"/>
      <c r="C121" s="161"/>
      <c r="D121" s="161"/>
      <c r="E121" s="161"/>
      <c r="F121" s="162"/>
      <c r="G121" s="163">
        <f>SUBTOTAL(9,G74:G120)</f>
        <v>46</v>
      </c>
      <c r="H121" s="163"/>
      <c r="I121" s="161" t="s">
        <v>558</v>
      </c>
      <c r="J121" s="161"/>
      <c r="K121" s="161"/>
      <c r="L121" s="164"/>
      <c r="M121" s="161"/>
      <c r="N121" s="161"/>
      <c r="O121" s="161"/>
      <c r="P121" s="161"/>
      <c r="Q121" s="186"/>
      <c r="R121" s="200"/>
      <c r="S121" s="208"/>
      <c r="T121" s="163"/>
      <c r="U121" s="161"/>
      <c r="V121" s="165"/>
      <c r="W121" s="166"/>
      <c r="X121" s="165"/>
      <c r="Y121" s="166"/>
      <c r="Z121" s="161"/>
      <c r="AA121" s="167"/>
      <c r="AB121" s="164"/>
      <c r="AC121" s="168"/>
      <c r="AD121" s="168"/>
      <c r="AE121" s="168"/>
      <c r="AF121" s="168"/>
      <c r="AG121" s="168"/>
      <c r="AH121" s="168"/>
      <c r="AI121" s="168"/>
      <c r="AJ121" s="161"/>
      <c r="AK121" s="161"/>
      <c r="AL121" s="161"/>
      <c r="AM121" s="169"/>
      <c r="AN121" s="189">
        <f t="shared" ref="AN121:BR121" si="162">SUBTOTAL(9,AN74:AN120)</f>
        <v>3208513</v>
      </c>
      <c r="AO121" s="170">
        <f t="shared" si="162"/>
        <v>3043986</v>
      </c>
      <c r="AP121" s="170">
        <f t="shared" si="162"/>
        <v>0</v>
      </c>
      <c r="AQ121" s="170">
        <f t="shared" si="162"/>
        <v>55520</v>
      </c>
      <c r="AR121" s="170">
        <f t="shared" si="162"/>
        <v>0</v>
      </c>
      <c r="AS121" s="170">
        <f t="shared" si="162"/>
        <v>6000</v>
      </c>
      <c r="AT121" s="170">
        <f t="shared" si="162"/>
        <v>3005</v>
      </c>
      <c r="AU121" s="170">
        <f t="shared" si="162"/>
        <v>0</v>
      </c>
      <c r="AV121" s="170">
        <f t="shared" si="162"/>
        <v>98800</v>
      </c>
      <c r="AW121" s="170">
        <f t="shared" si="162"/>
        <v>1202</v>
      </c>
      <c r="AX121" s="170">
        <f t="shared" si="162"/>
        <v>0</v>
      </c>
      <c r="AY121" s="170">
        <f t="shared" si="162"/>
        <v>0</v>
      </c>
      <c r="AZ121" s="170">
        <f t="shared" si="162"/>
        <v>0</v>
      </c>
      <c r="BA121" s="170">
        <f t="shared" si="162"/>
        <v>0</v>
      </c>
      <c r="BB121" s="170">
        <f t="shared" si="162"/>
        <v>0</v>
      </c>
      <c r="BC121" s="170">
        <f t="shared" si="162"/>
        <v>0</v>
      </c>
      <c r="BD121" s="170">
        <f t="shared" si="162"/>
        <v>22270</v>
      </c>
      <c r="BE121" s="170">
        <f t="shared" si="162"/>
        <v>273300</v>
      </c>
      <c r="BF121" s="170">
        <f t="shared" si="162"/>
        <v>6650.4</v>
      </c>
      <c r="BG121" s="170">
        <f t="shared" si="162"/>
        <v>14683</v>
      </c>
      <c r="BH121" s="170">
        <f t="shared" si="162"/>
        <v>306028</v>
      </c>
      <c r="BI121" s="170">
        <f t="shared" si="162"/>
        <v>28500</v>
      </c>
      <c r="BJ121" s="170">
        <f t="shared" si="162"/>
        <v>7368</v>
      </c>
      <c r="BK121" s="170">
        <f t="shared" si="162"/>
        <v>587058</v>
      </c>
      <c r="BL121" s="170">
        <f t="shared" si="162"/>
        <v>24613</v>
      </c>
      <c r="BM121" s="170">
        <f t="shared" si="162"/>
        <v>6768</v>
      </c>
      <c r="BN121" s="170">
        <f t="shared" si="162"/>
        <v>46550</v>
      </c>
      <c r="BO121" s="170">
        <f t="shared" si="162"/>
        <v>5780</v>
      </c>
      <c r="BP121" s="170">
        <f t="shared" si="162"/>
        <v>29000</v>
      </c>
      <c r="BQ121" s="170">
        <f t="shared" si="162"/>
        <v>108630</v>
      </c>
      <c r="BR121" s="170">
        <f t="shared" si="162"/>
        <v>4675711.4000000004</v>
      </c>
    </row>
    <row r="122" spans="1:70" outlineLevel="1" x14ac:dyDescent="0.35">
      <c r="A122" s="1" t="s">
        <v>6</v>
      </c>
      <c r="B122" s="1" t="s">
        <v>7</v>
      </c>
      <c r="C122" s="1" t="s">
        <v>8</v>
      </c>
      <c r="D122" s="1" t="s">
        <v>140</v>
      </c>
      <c r="E122" s="1" t="s">
        <v>47</v>
      </c>
      <c r="F122" s="2">
        <v>1</v>
      </c>
      <c r="G122" s="66">
        <v>1</v>
      </c>
      <c r="H122" s="66">
        <v>1</v>
      </c>
      <c r="I122" s="1" t="s">
        <v>611</v>
      </c>
      <c r="J122" s="1" t="s">
        <v>612</v>
      </c>
      <c r="K122" s="1" t="s">
        <v>155</v>
      </c>
      <c r="L122" s="76" t="str">
        <f>IF(M122="","N",STEP!$J$22)</f>
        <v>N</v>
      </c>
      <c r="M122" s="1" t="s">
        <v>11</v>
      </c>
      <c r="N122" s="1" t="s">
        <v>11</v>
      </c>
      <c r="O122" s="1" t="s">
        <v>11</v>
      </c>
      <c r="P122" s="1"/>
      <c r="Q122" s="185">
        <v>20210614</v>
      </c>
      <c r="R122" s="196">
        <v>44361</v>
      </c>
      <c r="S122" s="197">
        <f t="shared" ref="S122:S132" si="163">IF(A122="FT",IF(R122&gt;$S$1,0,(DATEDIF(R122,$S$1,"M"))),0)</f>
        <v>15</v>
      </c>
      <c r="T122" s="66">
        <f t="shared" ref="T122:T132" si="164">ROUNDDOWN(IF(A122="FT",DATEDIF(R122,$T$1,"y"),0),0)</f>
        <v>2</v>
      </c>
      <c r="U122" s="65" t="s">
        <v>11</v>
      </c>
      <c r="V122" s="70">
        <v>79.230800000000002</v>
      </c>
      <c r="W122" s="74" t="str">
        <f>IF(U122="","",(1-Y122))</f>
        <v/>
      </c>
      <c r="X122" s="70" t="str" cm="1">
        <f t="array" ref="X122">IF(U122="","",INDEX(STEP!$C:$C,MATCH('Position Control'!M122&amp;'Position Control'!P122,STEP!$A:$A&amp;STEP!$B:$B,0)))</f>
        <v/>
      </c>
      <c r="Y122" s="74" t="str">
        <f t="shared" ref="Y122:Y132" si="165">IF(L122="Y",(20221001-U122)/10000,"")</f>
        <v/>
      </c>
      <c r="Z122" s="1">
        <v>7704</v>
      </c>
      <c r="AA122" s="112">
        <f>VLOOKUP(Z122,'WRK COMP'!$A$1:$E$17,5,FALSE)</f>
        <v>1.2449999999999999E-2</v>
      </c>
      <c r="AB122" s="76" t="s">
        <v>13</v>
      </c>
      <c r="AC122" s="68">
        <v>0</v>
      </c>
      <c r="AD122" s="209">
        <v>0</v>
      </c>
      <c r="AE122" s="209">
        <v>0</v>
      </c>
      <c r="AF122" s="209">
        <v>0</v>
      </c>
      <c r="AG122" s="209">
        <v>0</v>
      </c>
      <c r="AH122" s="209">
        <v>12.5</v>
      </c>
      <c r="AI122" s="68">
        <v>0</v>
      </c>
      <c r="AJ122" s="10" t="s">
        <v>18</v>
      </c>
      <c r="AK122" s="10" t="s">
        <v>78</v>
      </c>
      <c r="AL122" s="10" t="s">
        <v>49</v>
      </c>
      <c r="AM122" s="78">
        <f>IF(F122&gt;0.79,IF(ROUNDUP(IF(B122="FS",(V122*HRS!$B$9),(V122*HRS!$L$2))*2,-3)&gt;150000,150000,(ROUNDUP(IF(B122="FS",(V122*HRS!$B$9),(V122*HRS!$L$2))*2,-3))),0)</f>
        <v>150000</v>
      </c>
      <c r="AN122" s="188">
        <f t="shared" ref="AN122:AN132" si="166">SUM(AO122:BB122)</f>
        <v>165401</v>
      </c>
      <c r="AO122" s="77">
        <f>IF(L122="N",IF(B122="FS",ROUNDUP($V122*HRS!$B$9*'Position Control'!F122,0),ROUNDUP('Position Control'!$V122*HRS!$L$2*'Position Control'!F122,0)),IF('Position Control'!B122="FS",ROUNDUP(('Position Control'!V122*HRS!$B$9*'Position Control'!W122*'Position Control'!F122)+('Position Control'!X122*HRS!$B$9*'Position Control'!Y122*'Position Control'!F122),0),ROUNDUP(('Position Control'!V122*HRS!$L$2*'Position Control'!W122*'Position Control'!F122)+('Position Control'!X122*HRS!$L$2*'Position Control'!Y122*'Position Control'!F122),0)))*'Position Control'!H122</f>
        <v>164801</v>
      </c>
      <c r="AP122" s="77">
        <f t="shared" ref="AP122:AP132" si="167">ROUNDUP(52*AC122,0)*H122</f>
        <v>0</v>
      </c>
      <c r="AQ122" s="77">
        <f t="shared" ref="AQ122:AQ132" si="168">IF(B122="FS",ROUNDUP(24*AD122,0),IF(B122="POL",ROUNDUP(26*AD122,0),ROUNDUP(52*AD122,0)))*$H122</f>
        <v>0</v>
      </c>
      <c r="AR122" s="77">
        <f t="shared" ref="AR122:AR132" si="169">IF(B122="FS",ROUNDUP(AG122*24,0),ROUNDUP(52*AG122,0))*H122</f>
        <v>0</v>
      </c>
      <c r="AS122" s="77">
        <v>0</v>
      </c>
      <c r="AT122" s="79">
        <f t="shared" ref="AT122:AT132" si="170">ROUNDUP(26*AF122,0)*H122</f>
        <v>0</v>
      </c>
      <c r="AU122" s="77">
        <f t="shared" ref="AU122:AU132" si="171">IF(B122="FS",ROUNDUP(24*AH122,0),IF(B122="POL",ROUNDUP(26*AH122,0),ROUNDUP(48*AH122,0)))*$H122</f>
        <v>600</v>
      </c>
      <c r="AV122" s="77">
        <v>0</v>
      </c>
      <c r="AW122" s="77">
        <f t="shared" ref="AW122:AW132" si="172">IF(B122="FS",ROUNDUP(24*AE122,0),IF(B122="POL",ROUNDUP(26*AE122,0),ROUNDUP(52*AE122,0)))*$H122</f>
        <v>0</v>
      </c>
      <c r="AX122" s="77">
        <f t="shared" ref="AX122:AX132" si="173">IF(AND(Q122&lt;20220401,A122&lt;&gt;"SP"),($AX$3*(AO122+BE122)),0)</f>
        <v>0</v>
      </c>
      <c r="AY122" s="77">
        <f t="shared" ref="AY122:AY132" si="174">IF(AND($L122="N",$Q122&lt;20220401,$A122&lt;&gt;"SP",$AO122&lt;100000),($AY$3*($AO122+$BE122)),0)</f>
        <v>0</v>
      </c>
      <c r="AZ122" s="77">
        <f t="shared" ref="AZ122:AZ132" si="175">IF(AND($L122="N",$Q122&lt;20220401,$A122&lt;&gt;"SP",$AO122&gt;100000),($AZ$3*($AO122+$BE122)),0)</f>
        <v>0</v>
      </c>
      <c r="BA122" s="77">
        <f t="shared" ref="BA122:BA132" si="176">IF(AND($L122="N",$Q122&lt;20220401,$A122&lt;&gt;"SP"),($BA$3*($AO122+$BE122)),0)</f>
        <v>0</v>
      </c>
      <c r="BB122" s="77">
        <f t="shared" ref="BB122:BB132" si="177">IF(AND($L122="Y",$Q122&lt;20220401,$A122&lt;&gt;"SP"),($BB$3*($AO122+$BE122)),0)</f>
        <v>0</v>
      </c>
      <c r="BC122" s="77">
        <f t="shared" si="152"/>
        <v>0</v>
      </c>
      <c r="BD122" s="77">
        <f>IF($S122&gt;=12,IF(($S122*5)&gt;1200,1200,$S122*5),0)*$H122</f>
        <v>75</v>
      </c>
      <c r="BE122" s="77">
        <v>0</v>
      </c>
      <c r="BF122" s="77">
        <f t="shared" ref="BF122:BF132" si="178">$AM122*$BF$3*12*$H122</f>
        <v>180</v>
      </c>
      <c r="BG122" s="77">
        <f>VLOOKUP($AJ122,BENE!$I$2:$N$9,6,FALSE)*'Position Control'!$H122</f>
        <v>760</v>
      </c>
      <c r="BH122" s="77">
        <f>VLOOKUP($AK122,BENE!$A$2:$F$19,6,FALSE)*'Position Control'!$H122</f>
        <v>18024</v>
      </c>
      <c r="BI122" s="77">
        <f>VLOOKUP($AK122,BENE!$A$2:$G$19,7,FALSE)*'Position Control'!$H122</f>
        <v>0</v>
      </c>
      <c r="BJ122" s="77">
        <f>VLOOKUP($AL122,BENE!$P$2:$S$6,4,FALSE)*'Position Control'!$H122</f>
        <v>0</v>
      </c>
      <c r="BK122" s="77">
        <f>IF($F122&gt;HRS!$H$2,ROUNDUP(((($AN122+$BE122)*$BK$3)/12*9)+(($AN122+$BE122)*HRS!$B$10/12*3),0),0)*$H122</f>
        <v>27887</v>
      </c>
      <c r="BL122" s="80">
        <f t="shared" ref="BL122:BL132" si="179">ROUNDUP($AN122*$AA122,0)*$H122</f>
        <v>2060</v>
      </c>
      <c r="BM122" s="77">
        <f t="shared" ref="BM122:BM132" si="180">ROUNDUP(IF($AN122&gt;9000,$BM$3*9000,$BM$3*$AN122),0)*$H122</f>
        <v>144</v>
      </c>
      <c r="BN122" s="77">
        <f t="shared" ref="BN122:BN132" si="181">IF($AB122="Y",ROUNDUP($AN122*$BN$3,0),0)*$H122</f>
        <v>2399</v>
      </c>
      <c r="BO122" s="77">
        <f t="shared" ref="BO122:BO132" si="182">IF($A122&lt;&gt;"SP",ROUND($BO$3*$AN122,0)*$H122,0)</f>
        <v>298</v>
      </c>
      <c r="BP122" s="77">
        <f t="shared" ref="BP122:BP132" si="183">IF($T122&gt;24,2000,IF($T122&gt;19,1750,IF($T122&gt;14,1500,IF($T122&gt;9.9999999999999,1000,0))))*$H122</f>
        <v>0</v>
      </c>
      <c r="BQ122" s="77">
        <v>0</v>
      </c>
      <c r="BR122" s="80">
        <f t="shared" ref="BR122:BR132" si="184">SUM(AO122:AW122)+SUM(BC122:BQ122)</f>
        <v>217228</v>
      </c>
    </row>
    <row r="123" spans="1:70" outlineLevel="1" x14ac:dyDescent="0.35">
      <c r="A123" s="1" t="s">
        <v>6</v>
      </c>
      <c r="B123" s="1" t="s">
        <v>143</v>
      </c>
      <c r="C123" s="1" t="s">
        <v>8</v>
      </c>
      <c r="D123" s="1" t="s">
        <v>140</v>
      </c>
      <c r="E123" s="1" t="s">
        <v>47</v>
      </c>
      <c r="F123" s="2">
        <v>1</v>
      </c>
      <c r="G123" s="66">
        <v>1</v>
      </c>
      <c r="H123" s="66">
        <v>1</v>
      </c>
      <c r="I123" s="1" t="s">
        <v>611</v>
      </c>
      <c r="J123" s="1" t="s">
        <v>612</v>
      </c>
      <c r="K123" s="1" t="s">
        <v>149</v>
      </c>
      <c r="L123" s="76" t="str">
        <f>IF(M123="","N",STEP!$J$22)</f>
        <v>Y</v>
      </c>
      <c r="M123" s="10" t="s">
        <v>609</v>
      </c>
      <c r="N123" s="10" t="s">
        <v>610</v>
      </c>
      <c r="O123" s="1">
        <v>2</v>
      </c>
      <c r="P123" s="1">
        <v>3</v>
      </c>
      <c r="Q123" s="185">
        <v>19881208</v>
      </c>
      <c r="R123" s="196">
        <v>32485</v>
      </c>
      <c r="S123" s="197">
        <f t="shared" si="163"/>
        <v>405</v>
      </c>
      <c r="T123" s="66">
        <f t="shared" si="164"/>
        <v>34</v>
      </c>
      <c r="U123" s="65">
        <v>20211001</v>
      </c>
      <c r="V123" s="70">
        <v>62.7072</v>
      </c>
      <c r="W123" s="74">
        <f t="shared" si="161"/>
        <v>0</v>
      </c>
      <c r="X123" s="70" cm="1">
        <f t="array" ref="X123">IF(U123="","",INDEX(STEP!$C:$C,MATCH('Position Control'!M123&amp;'Position Control'!P123,STEP!$A:$A&amp;STEP!$B:$B,0)))</f>
        <v>65.7624</v>
      </c>
      <c r="Y123" s="74">
        <f t="shared" si="165"/>
        <v>1</v>
      </c>
      <c r="Z123" s="1">
        <v>7704</v>
      </c>
      <c r="AA123" s="112">
        <f>VLOOKUP(Z123,'WRK COMP'!$A$1:$E$17,5,FALSE)</f>
        <v>1.2449999999999999E-2</v>
      </c>
      <c r="AB123" s="76" t="s">
        <v>13</v>
      </c>
      <c r="AC123" s="68">
        <v>0</v>
      </c>
      <c r="AD123" s="209">
        <v>5.77</v>
      </c>
      <c r="AE123" s="209">
        <v>0</v>
      </c>
      <c r="AF123" s="209">
        <v>0</v>
      </c>
      <c r="AG123" s="209">
        <v>23.08</v>
      </c>
      <c r="AH123" s="209">
        <v>12.5</v>
      </c>
      <c r="AI123" s="68">
        <v>0</v>
      </c>
      <c r="AJ123" s="10" t="s">
        <v>25</v>
      </c>
      <c r="AK123" s="10" t="s">
        <v>57</v>
      </c>
      <c r="AL123" s="10" t="s">
        <v>53</v>
      </c>
      <c r="AM123" s="78">
        <f>IF(F123&gt;0.79,IF(ROUNDUP(IF(B123="FS",(V123*HRS!$B$9),(V123*HRS!$L$2))*2,-3)&gt;150000,150000,(ROUNDUP(IF(B123="FS",(V123*HRS!$B$9),(V123*HRS!$L$2))*2,-3))),0)</f>
        <v>150000</v>
      </c>
      <c r="AN123" s="188">
        <f t="shared" si="166"/>
        <v>138888</v>
      </c>
      <c r="AO123" s="77">
        <f>IF(L123="N",IF(B123="FS",ROUNDUP($V123*HRS!$B$9*'Position Control'!F123,0),ROUNDUP('Position Control'!$V123*HRS!$L$2*'Position Control'!F123,0)),IF('Position Control'!B123="FS",ROUNDUP(('Position Control'!V123*HRS!$B$9*'Position Control'!W123*'Position Control'!F123)+('Position Control'!X123*HRS!$B$9*'Position Control'!Y123*'Position Control'!F123),0),ROUNDUP(('Position Control'!V123*HRS!$L$2*'Position Control'!W123*'Position Control'!F123)+('Position Control'!X123*HRS!$L$2*'Position Control'!Y123*'Position Control'!F123),0)))*'Position Control'!H123</f>
        <v>136786</v>
      </c>
      <c r="AP123" s="77">
        <f t="shared" si="167"/>
        <v>0</v>
      </c>
      <c r="AQ123" s="77">
        <f t="shared" si="168"/>
        <v>301</v>
      </c>
      <c r="AR123" s="77">
        <f t="shared" si="169"/>
        <v>1201</v>
      </c>
      <c r="AS123" s="77">
        <v>0</v>
      </c>
      <c r="AT123" s="79">
        <f t="shared" si="170"/>
        <v>0</v>
      </c>
      <c r="AU123" s="77">
        <f t="shared" si="171"/>
        <v>600</v>
      </c>
      <c r="AV123" s="77">
        <v>0</v>
      </c>
      <c r="AW123" s="77">
        <f t="shared" si="172"/>
        <v>0</v>
      </c>
      <c r="AX123" s="77">
        <f t="shared" si="173"/>
        <v>0</v>
      </c>
      <c r="AY123" s="77">
        <f t="shared" si="174"/>
        <v>0</v>
      </c>
      <c r="AZ123" s="77">
        <f t="shared" si="175"/>
        <v>0</v>
      </c>
      <c r="BA123" s="77">
        <f t="shared" si="176"/>
        <v>0</v>
      </c>
      <c r="BB123" s="77">
        <f t="shared" si="177"/>
        <v>0</v>
      </c>
      <c r="BC123" s="77">
        <f t="shared" si="152"/>
        <v>0</v>
      </c>
      <c r="BD123" s="77">
        <f t="shared" ref="BD123:BD128" si="185">IF($S123&gt;=12,IF(($S123*5)&gt;1200,1200,$S123*5),0)*$H123</f>
        <v>1200</v>
      </c>
      <c r="BE123" s="77">
        <v>0</v>
      </c>
      <c r="BF123" s="77">
        <f t="shared" si="178"/>
        <v>180</v>
      </c>
      <c r="BG123" s="77">
        <f>VLOOKUP($AJ123,BENE!$I$2:$N$9,6,FALSE)*'Position Control'!$H123</f>
        <v>414</v>
      </c>
      <c r="BH123" s="77">
        <f>VLOOKUP($AK123,BENE!$A$2:$F$19,6,FALSE)*'Position Control'!$H123</f>
        <v>9890</v>
      </c>
      <c r="BI123" s="77">
        <f>VLOOKUP($AK123,BENE!$A$2:$G$19,7,FALSE)*'Position Control'!$H123</f>
        <v>1500</v>
      </c>
      <c r="BJ123" s="77">
        <f>VLOOKUP($AL123,BENE!$P$2:$S$6,4,FALSE)*'Position Control'!$H123</f>
        <v>372</v>
      </c>
      <c r="BK123" s="77">
        <f>IF($F123&gt;HRS!$H$2,ROUNDUP(((($AN123+$BE123)*$BK$3)/12*9)+(($AN123+$BE123)*HRS!$B$10/12*3),0),0)*$H123</f>
        <v>23417</v>
      </c>
      <c r="BL123" s="80">
        <f t="shared" si="179"/>
        <v>1730</v>
      </c>
      <c r="BM123" s="77">
        <f t="shared" si="180"/>
        <v>144</v>
      </c>
      <c r="BN123" s="77">
        <f t="shared" si="181"/>
        <v>2014</v>
      </c>
      <c r="BO123" s="77">
        <f t="shared" si="182"/>
        <v>250</v>
      </c>
      <c r="BP123" s="77">
        <f t="shared" si="183"/>
        <v>2000</v>
      </c>
      <c r="BQ123" s="77">
        <v>0</v>
      </c>
      <c r="BR123" s="80">
        <f t="shared" si="184"/>
        <v>181999</v>
      </c>
    </row>
    <row r="124" spans="1:70" outlineLevel="1" x14ac:dyDescent="0.35">
      <c r="A124" s="1" t="s">
        <v>6</v>
      </c>
      <c r="B124" s="1" t="s">
        <v>143</v>
      </c>
      <c r="C124" s="1" t="s">
        <v>8</v>
      </c>
      <c r="D124" s="1" t="s">
        <v>140</v>
      </c>
      <c r="E124" s="1" t="s">
        <v>47</v>
      </c>
      <c r="F124" s="2">
        <v>1</v>
      </c>
      <c r="G124" s="66">
        <v>1</v>
      </c>
      <c r="H124" s="66">
        <v>1</v>
      </c>
      <c r="I124" s="1" t="s">
        <v>611</v>
      </c>
      <c r="J124" s="1" t="s">
        <v>612</v>
      </c>
      <c r="K124" s="1" t="s">
        <v>144</v>
      </c>
      <c r="L124" s="76" t="str">
        <f>IF(M124="","N",STEP!$J$22)</f>
        <v>Y</v>
      </c>
      <c r="M124" s="10" t="s">
        <v>609</v>
      </c>
      <c r="N124" s="10" t="s">
        <v>610</v>
      </c>
      <c r="O124" s="1">
        <v>2</v>
      </c>
      <c r="P124" s="1">
        <v>3</v>
      </c>
      <c r="Q124" s="185">
        <v>19800602</v>
      </c>
      <c r="R124" s="196">
        <v>29374</v>
      </c>
      <c r="S124" s="197">
        <f t="shared" si="163"/>
        <v>507</v>
      </c>
      <c r="T124" s="66">
        <f t="shared" si="164"/>
        <v>43</v>
      </c>
      <c r="U124" s="65">
        <v>20211001</v>
      </c>
      <c r="V124" s="70">
        <v>62.7072</v>
      </c>
      <c r="W124" s="74">
        <f t="shared" si="161"/>
        <v>0</v>
      </c>
      <c r="X124" s="70" cm="1">
        <f t="array" ref="X124">IF(U124="","",INDEX(STEP!$C:$C,MATCH('Position Control'!M124&amp;'Position Control'!P124,STEP!$A:$A&amp;STEP!$B:$B,0)))</f>
        <v>65.7624</v>
      </c>
      <c r="Y124" s="74">
        <f t="shared" si="165"/>
        <v>1</v>
      </c>
      <c r="Z124" s="1">
        <v>7704</v>
      </c>
      <c r="AA124" s="112">
        <f>VLOOKUP(Z124,'WRK COMP'!$A$1:$E$17,5,FALSE)</f>
        <v>1.2449999999999999E-2</v>
      </c>
      <c r="AB124" s="76" t="s">
        <v>51</v>
      </c>
      <c r="AC124" s="68">
        <v>0</v>
      </c>
      <c r="AD124" s="209">
        <v>23.08</v>
      </c>
      <c r="AE124" s="209">
        <v>0</v>
      </c>
      <c r="AF124" s="209">
        <v>0</v>
      </c>
      <c r="AG124" s="209">
        <v>23.08</v>
      </c>
      <c r="AH124" s="209">
        <v>12.5</v>
      </c>
      <c r="AI124" s="68">
        <v>0</v>
      </c>
      <c r="AJ124" s="10" t="s">
        <v>25</v>
      </c>
      <c r="AK124" s="10" t="s">
        <v>52</v>
      </c>
      <c r="AL124" s="10" t="s">
        <v>49</v>
      </c>
      <c r="AM124" s="78">
        <f>IF(F124&gt;0.79,IF(ROUNDUP(IF(B124="FS",(V124*HRS!$B$9),(V124*HRS!$L$2))*2,-3)&gt;150000,150000,(ROUNDUP(IF(B124="FS",(V124*HRS!$B$9),(V124*HRS!$L$2))*2,-3))),0)</f>
        <v>150000</v>
      </c>
      <c r="AN124" s="188">
        <f t="shared" si="166"/>
        <v>139788</v>
      </c>
      <c r="AO124" s="77">
        <f>IF(L124="N",IF(B124="FS",ROUNDUP($V124*HRS!$B$9*'Position Control'!F124,0),ROUNDUP('Position Control'!$V124*HRS!$L$2*'Position Control'!F124,0)),IF('Position Control'!B124="FS",ROUNDUP(('Position Control'!V124*HRS!$B$9*'Position Control'!W124*'Position Control'!F124)+('Position Control'!X124*HRS!$B$9*'Position Control'!Y124*'Position Control'!F124),0),ROUNDUP(('Position Control'!V124*HRS!$L$2*'Position Control'!W124*'Position Control'!F124)+('Position Control'!X124*HRS!$L$2*'Position Control'!Y124*'Position Control'!F124),0)))*'Position Control'!H124</f>
        <v>136786</v>
      </c>
      <c r="AP124" s="77">
        <f t="shared" si="167"/>
        <v>0</v>
      </c>
      <c r="AQ124" s="77">
        <f t="shared" si="168"/>
        <v>1201</v>
      </c>
      <c r="AR124" s="77">
        <f t="shared" si="169"/>
        <v>1201</v>
      </c>
      <c r="AS124" s="77">
        <v>0</v>
      </c>
      <c r="AT124" s="79">
        <f t="shared" si="170"/>
        <v>0</v>
      </c>
      <c r="AU124" s="77">
        <f t="shared" si="171"/>
        <v>600</v>
      </c>
      <c r="AV124" s="77">
        <v>0</v>
      </c>
      <c r="AW124" s="77">
        <f t="shared" si="172"/>
        <v>0</v>
      </c>
      <c r="AX124" s="77">
        <f t="shared" si="173"/>
        <v>0</v>
      </c>
      <c r="AY124" s="77">
        <f t="shared" si="174"/>
        <v>0</v>
      </c>
      <c r="AZ124" s="77">
        <f t="shared" si="175"/>
        <v>0</v>
      </c>
      <c r="BA124" s="77">
        <f t="shared" si="176"/>
        <v>0</v>
      </c>
      <c r="BB124" s="77">
        <f t="shared" si="177"/>
        <v>0</v>
      </c>
      <c r="BC124" s="77">
        <f t="shared" si="152"/>
        <v>0</v>
      </c>
      <c r="BD124" s="77">
        <f t="shared" si="185"/>
        <v>1200</v>
      </c>
      <c r="BE124" s="77">
        <v>0</v>
      </c>
      <c r="BF124" s="77">
        <f t="shared" si="178"/>
        <v>180</v>
      </c>
      <c r="BG124" s="77">
        <f>VLOOKUP($AJ124,BENE!$I$2:$N$9,6,FALSE)*'Position Control'!$H124</f>
        <v>414</v>
      </c>
      <c r="BH124" s="77">
        <f>VLOOKUP($AK124,BENE!$A$2:$F$19,6,FALSE)*'Position Control'!$H124</f>
        <v>10714</v>
      </c>
      <c r="BI124" s="77">
        <f>VLOOKUP($AK124,BENE!$A$2:$G$19,7,FALSE)*'Position Control'!$H124</f>
        <v>1500</v>
      </c>
      <c r="BJ124" s="77">
        <f>VLOOKUP($AL124,BENE!$P$2:$S$6,4,FALSE)*'Position Control'!$H124</f>
        <v>0</v>
      </c>
      <c r="BK124" s="77">
        <f>IF($F124&gt;HRS!$H$2,ROUNDUP(((($AN124+$BE124)*$BK$3)/12*9)+(($AN124+$BE124)*HRS!$B$10/12*3),0),0)*$H124</f>
        <v>23569</v>
      </c>
      <c r="BL124" s="80">
        <f t="shared" si="179"/>
        <v>1741</v>
      </c>
      <c r="BM124" s="77">
        <f t="shared" si="180"/>
        <v>144</v>
      </c>
      <c r="BN124" s="77">
        <f t="shared" si="181"/>
        <v>0</v>
      </c>
      <c r="BO124" s="77">
        <f t="shared" si="182"/>
        <v>252</v>
      </c>
      <c r="BP124" s="77">
        <f t="shared" si="183"/>
        <v>2000</v>
      </c>
      <c r="BQ124" s="77">
        <v>0</v>
      </c>
      <c r="BR124" s="80">
        <f t="shared" si="184"/>
        <v>181502</v>
      </c>
    </row>
    <row r="125" spans="1:70" outlineLevel="1" x14ac:dyDescent="0.35">
      <c r="A125" s="1" t="s">
        <v>6</v>
      </c>
      <c r="B125" s="1" t="s">
        <v>143</v>
      </c>
      <c r="C125" s="1" t="s">
        <v>8</v>
      </c>
      <c r="D125" s="1" t="s">
        <v>140</v>
      </c>
      <c r="E125" s="1" t="s">
        <v>47</v>
      </c>
      <c r="F125" s="2">
        <v>1</v>
      </c>
      <c r="G125" s="66">
        <v>1</v>
      </c>
      <c r="H125" s="66">
        <v>1</v>
      </c>
      <c r="I125" s="1" t="s">
        <v>611</v>
      </c>
      <c r="J125" s="1" t="s">
        <v>612</v>
      </c>
      <c r="K125" s="1" t="s">
        <v>151</v>
      </c>
      <c r="L125" s="76" t="str">
        <f>IF(M125="","N",STEP!$J$22)</f>
        <v>Y</v>
      </c>
      <c r="M125" s="1" t="s">
        <v>152</v>
      </c>
      <c r="N125" s="1" t="s">
        <v>153</v>
      </c>
      <c r="O125" s="1">
        <v>2</v>
      </c>
      <c r="P125" s="1">
        <v>3</v>
      </c>
      <c r="Q125" s="185">
        <v>20080225</v>
      </c>
      <c r="R125" s="196">
        <v>39503</v>
      </c>
      <c r="S125" s="197">
        <f t="shared" si="163"/>
        <v>175</v>
      </c>
      <c r="T125" s="66">
        <f t="shared" si="164"/>
        <v>15</v>
      </c>
      <c r="U125" s="65">
        <v>20211106</v>
      </c>
      <c r="V125" s="70">
        <v>59.450899999999997</v>
      </c>
      <c r="W125" s="74">
        <f t="shared" si="161"/>
        <v>1.0499999999999954E-2</v>
      </c>
      <c r="X125" s="70" cm="1">
        <f t="array" ref="X125">IF(U125="","",INDEX(STEP!$C:$C,MATCH('Position Control'!M125&amp;'Position Control'!P125,STEP!$A:$A&amp;STEP!$B:$B,0)))</f>
        <v>61.234470000000009</v>
      </c>
      <c r="Y125" s="74">
        <f t="shared" si="165"/>
        <v>0.98950000000000005</v>
      </c>
      <c r="Z125" s="1">
        <v>7704</v>
      </c>
      <c r="AA125" s="112">
        <f>VLOOKUP(Z125,'WRK COMP'!$A$1:$E$17,5,FALSE)</f>
        <v>1.2449999999999999E-2</v>
      </c>
      <c r="AB125" s="76" t="s">
        <v>13</v>
      </c>
      <c r="AC125" s="68">
        <v>0</v>
      </c>
      <c r="AD125" s="209">
        <v>98.089999999999989</v>
      </c>
      <c r="AE125" s="209">
        <v>0</v>
      </c>
      <c r="AF125" s="209">
        <v>0</v>
      </c>
      <c r="AG125" s="209">
        <v>23.08</v>
      </c>
      <c r="AH125" s="209">
        <v>12.5</v>
      </c>
      <c r="AI125" s="68">
        <v>0</v>
      </c>
      <c r="AJ125" s="10" t="s">
        <v>18</v>
      </c>
      <c r="AK125" s="10" t="s">
        <v>43</v>
      </c>
      <c r="AL125" s="10" t="s">
        <v>49</v>
      </c>
      <c r="AM125" s="78">
        <f>IF(F125&gt;0.79,IF(ROUNDUP(IF(B125="FS",(V125*HRS!$B$9),(V125*HRS!$L$2))*2,-3)&gt;150000,150000,(ROUNDUP(IF(B125="FS",(V125*HRS!$B$9),(V125*HRS!$L$2))*2,-3))),0)</f>
        <v>150000</v>
      </c>
      <c r="AN125" s="188">
        <f t="shared" si="166"/>
        <v>134231</v>
      </c>
      <c r="AO125" s="77">
        <f>IF(L125="N",IF(B125="FS",ROUNDUP($V125*HRS!$B$9*'Position Control'!F125,0),ROUNDUP('Position Control'!$V125*HRS!$L$2*'Position Control'!F125,0)),IF('Position Control'!B125="FS",ROUNDUP(('Position Control'!V125*HRS!$B$9*'Position Control'!W125*'Position Control'!F125)+('Position Control'!X125*HRS!$B$9*'Position Control'!Y125*'Position Control'!F125),0),ROUNDUP(('Position Control'!V125*HRS!$L$2*'Position Control'!W125*'Position Control'!F125)+('Position Control'!X125*HRS!$L$2*'Position Control'!Y125*'Position Control'!F125),0)))*'Position Control'!H125</f>
        <v>127329</v>
      </c>
      <c r="AP125" s="77">
        <f t="shared" si="167"/>
        <v>0</v>
      </c>
      <c r="AQ125" s="77">
        <f t="shared" si="168"/>
        <v>5101</v>
      </c>
      <c r="AR125" s="77">
        <f t="shared" si="169"/>
        <v>1201</v>
      </c>
      <c r="AS125" s="77">
        <v>0</v>
      </c>
      <c r="AT125" s="79">
        <f t="shared" si="170"/>
        <v>0</v>
      </c>
      <c r="AU125" s="77">
        <f t="shared" si="171"/>
        <v>600</v>
      </c>
      <c r="AV125" s="77">
        <v>0</v>
      </c>
      <c r="AW125" s="77">
        <f t="shared" si="172"/>
        <v>0</v>
      </c>
      <c r="AX125" s="77">
        <f t="shared" si="173"/>
        <v>0</v>
      </c>
      <c r="AY125" s="77">
        <f t="shared" si="174"/>
        <v>0</v>
      </c>
      <c r="AZ125" s="77">
        <f t="shared" si="175"/>
        <v>0</v>
      </c>
      <c r="BA125" s="77">
        <f t="shared" si="176"/>
        <v>0</v>
      </c>
      <c r="BB125" s="77">
        <f t="shared" si="177"/>
        <v>0</v>
      </c>
      <c r="BC125" s="77">
        <f t="shared" si="152"/>
        <v>0</v>
      </c>
      <c r="BD125" s="77">
        <f t="shared" si="185"/>
        <v>875</v>
      </c>
      <c r="BE125" s="77">
        <v>0</v>
      </c>
      <c r="BF125" s="77">
        <f t="shared" si="178"/>
        <v>180</v>
      </c>
      <c r="BG125" s="77">
        <f>VLOOKUP($AJ125,BENE!$I$2:$N$9,6,FALSE)*'Position Control'!$H125</f>
        <v>760</v>
      </c>
      <c r="BH125" s="77">
        <f>VLOOKUP($AK125,BENE!$A$2:$F$19,6,FALSE)*'Position Control'!$H125</f>
        <v>6870</v>
      </c>
      <c r="BI125" s="77">
        <f>VLOOKUP($AK125,BENE!$A$2:$G$19,7,FALSE)*'Position Control'!$H125</f>
        <v>0</v>
      </c>
      <c r="BJ125" s="77">
        <f>VLOOKUP($AL125,BENE!$P$2:$S$6,4,FALSE)*'Position Control'!$H125</f>
        <v>0</v>
      </c>
      <c r="BK125" s="77">
        <f>IF($F125&gt;HRS!$H$2,ROUNDUP(((($AN125+$BE125)*$BK$3)/12*9)+(($AN125+$BE125)*HRS!$B$10/12*3),0),0)*$H125</f>
        <v>22632</v>
      </c>
      <c r="BL125" s="80">
        <f t="shared" si="179"/>
        <v>1672</v>
      </c>
      <c r="BM125" s="77">
        <f t="shared" si="180"/>
        <v>144</v>
      </c>
      <c r="BN125" s="77">
        <f t="shared" si="181"/>
        <v>1947</v>
      </c>
      <c r="BO125" s="77">
        <f t="shared" si="182"/>
        <v>242</v>
      </c>
      <c r="BP125" s="77">
        <f t="shared" si="183"/>
        <v>1500</v>
      </c>
      <c r="BQ125" s="77">
        <v>0</v>
      </c>
      <c r="BR125" s="80">
        <f t="shared" si="184"/>
        <v>171053</v>
      </c>
    </row>
    <row r="126" spans="1:70" outlineLevel="1" x14ac:dyDescent="0.35">
      <c r="A126" s="1" t="s">
        <v>6</v>
      </c>
      <c r="B126" s="1" t="s">
        <v>143</v>
      </c>
      <c r="C126" s="1" t="s">
        <v>8</v>
      </c>
      <c r="D126" s="1" t="s">
        <v>140</v>
      </c>
      <c r="E126" s="1" t="s">
        <v>47</v>
      </c>
      <c r="F126" s="2">
        <v>1</v>
      </c>
      <c r="G126" s="66">
        <v>1</v>
      </c>
      <c r="H126" s="66">
        <v>1</v>
      </c>
      <c r="I126" s="1" t="s">
        <v>611</v>
      </c>
      <c r="J126" s="1" t="s">
        <v>612</v>
      </c>
      <c r="K126" s="1" t="s">
        <v>154</v>
      </c>
      <c r="L126" s="76" t="str">
        <f>IF(M126="","N",STEP!$J$22)</f>
        <v>Y</v>
      </c>
      <c r="M126" s="1" t="s">
        <v>152</v>
      </c>
      <c r="N126" s="1" t="s">
        <v>153</v>
      </c>
      <c r="O126" s="1">
        <v>4</v>
      </c>
      <c r="P126" s="1">
        <v>4</v>
      </c>
      <c r="Q126" s="185">
        <v>20000413</v>
      </c>
      <c r="R126" s="196">
        <v>36629</v>
      </c>
      <c r="S126" s="197">
        <f t="shared" si="163"/>
        <v>269</v>
      </c>
      <c r="T126" s="66">
        <f t="shared" si="164"/>
        <v>23</v>
      </c>
      <c r="U126" s="65">
        <v>20220501</v>
      </c>
      <c r="V126" s="70">
        <v>63.0715</v>
      </c>
      <c r="W126" s="74">
        <f t="shared" si="161"/>
        <v>0.95</v>
      </c>
      <c r="X126" s="70" cm="1">
        <f t="array" ref="X126">IF(U126="","",INDEX(STEP!$C:$C,MATCH('Position Control'!M126&amp;'Position Control'!P126,STEP!$A:$A&amp;STEP!$B:$B,0)))</f>
        <v>63.071470000000005</v>
      </c>
      <c r="Y126" s="74">
        <f t="shared" si="165"/>
        <v>0.05</v>
      </c>
      <c r="Z126" s="1">
        <v>7704</v>
      </c>
      <c r="AA126" s="112">
        <f>VLOOKUP(Z126,'WRK COMP'!$A$1:$E$17,5,FALSE)</f>
        <v>1.2449999999999999E-2</v>
      </c>
      <c r="AB126" s="76" t="s">
        <v>13</v>
      </c>
      <c r="AC126" s="68">
        <v>0</v>
      </c>
      <c r="AD126" s="209">
        <v>37.5</v>
      </c>
      <c r="AE126" s="209">
        <v>0</v>
      </c>
      <c r="AF126" s="209">
        <v>0</v>
      </c>
      <c r="AG126" s="209">
        <v>50</v>
      </c>
      <c r="AH126" s="209">
        <v>0</v>
      </c>
      <c r="AI126" s="68">
        <v>0</v>
      </c>
      <c r="AJ126" s="9" t="s">
        <v>49</v>
      </c>
      <c r="AK126" s="10" t="s">
        <v>49</v>
      </c>
      <c r="AL126" s="10" t="s">
        <v>16</v>
      </c>
      <c r="AM126" s="78">
        <f>IF(F126&gt;0.79,IF(ROUNDUP(IF(B126="FS",(V126*HRS!$B$9),(V126*HRS!$L$2))*2,-3)&gt;150000,150000,(ROUNDUP(IF(B126="FS",(V126*HRS!$B$9),(V126*HRS!$L$2))*2,-3))),0)</f>
        <v>150000</v>
      </c>
      <c r="AN126" s="188">
        <f t="shared" si="166"/>
        <v>135739</v>
      </c>
      <c r="AO126" s="77">
        <f>IF(L126="N",IF(B126="FS",ROUNDUP($V126*HRS!$B$9*'Position Control'!F126,0),ROUNDUP('Position Control'!$V126*HRS!$L$2*'Position Control'!F126,0)),IF('Position Control'!B126="FS",ROUNDUP(('Position Control'!V126*HRS!$B$9*'Position Control'!W126*'Position Control'!F126)+('Position Control'!X126*HRS!$B$9*'Position Control'!Y126*'Position Control'!F126),0),ROUNDUP(('Position Control'!V126*HRS!$L$2*'Position Control'!W126*'Position Control'!F126)+('Position Control'!X126*HRS!$L$2*'Position Control'!Y126*'Position Control'!F126),0)))*'Position Control'!H126</f>
        <v>131189</v>
      </c>
      <c r="AP126" s="77">
        <f t="shared" si="167"/>
        <v>0</v>
      </c>
      <c r="AQ126" s="77">
        <f t="shared" si="168"/>
        <v>1950</v>
      </c>
      <c r="AR126" s="77">
        <f t="shared" si="169"/>
        <v>2600</v>
      </c>
      <c r="AS126" s="77">
        <v>0</v>
      </c>
      <c r="AT126" s="79">
        <f t="shared" si="170"/>
        <v>0</v>
      </c>
      <c r="AU126" s="77">
        <f t="shared" si="171"/>
        <v>0</v>
      </c>
      <c r="AV126" s="77">
        <v>0</v>
      </c>
      <c r="AW126" s="77">
        <f t="shared" si="172"/>
        <v>0</v>
      </c>
      <c r="AX126" s="77">
        <f t="shared" si="173"/>
        <v>0</v>
      </c>
      <c r="AY126" s="77">
        <f t="shared" si="174"/>
        <v>0</v>
      </c>
      <c r="AZ126" s="77">
        <f t="shared" si="175"/>
        <v>0</v>
      </c>
      <c r="BA126" s="77">
        <f t="shared" si="176"/>
        <v>0</v>
      </c>
      <c r="BB126" s="77">
        <f t="shared" si="177"/>
        <v>0</v>
      </c>
      <c r="BC126" s="77">
        <f t="shared" ref="BC126:BC164" si="186">SUM(AX126:BB126)</f>
        <v>0</v>
      </c>
      <c r="BD126" s="77">
        <f t="shared" si="185"/>
        <v>1200</v>
      </c>
      <c r="BE126" s="77">
        <v>0</v>
      </c>
      <c r="BF126" s="77">
        <f t="shared" si="178"/>
        <v>180</v>
      </c>
      <c r="BG126" s="77">
        <f>VLOOKUP($AJ126,BENE!$I$2:$N$9,6,FALSE)*'Position Control'!$H126</f>
        <v>0</v>
      </c>
      <c r="BH126" s="77">
        <f>VLOOKUP($AK126,BENE!$A$2:$F$19,6,FALSE)*'Position Control'!$H126</f>
        <v>0</v>
      </c>
      <c r="BI126" s="77">
        <f>VLOOKUP($AK126,BENE!$A$2:$G$19,7,FALSE)*'Position Control'!$H126</f>
        <v>0</v>
      </c>
      <c r="BJ126" s="77">
        <f>VLOOKUP($AL126,BENE!$P$2:$S$6,4,FALSE)*'Position Control'!$H126</f>
        <v>240</v>
      </c>
      <c r="BK126" s="77">
        <f>IF($F126&gt;HRS!$H$2,ROUNDUP(((($AN126+$BE126)*$BK$3)/12*9)+(($AN126+$BE126)*HRS!$B$10/12*3),0),0)*$H126</f>
        <v>22886</v>
      </c>
      <c r="BL126" s="80">
        <f t="shared" si="179"/>
        <v>1690</v>
      </c>
      <c r="BM126" s="77">
        <f t="shared" si="180"/>
        <v>144</v>
      </c>
      <c r="BN126" s="77">
        <f t="shared" si="181"/>
        <v>1969</v>
      </c>
      <c r="BO126" s="77">
        <f t="shared" si="182"/>
        <v>244</v>
      </c>
      <c r="BP126" s="77">
        <f t="shared" si="183"/>
        <v>1750</v>
      </c>
      <c r="BQ126" s="77">
        <v>0</v>
      </c>
      <c r="BR126" s="80">
        <f t="shared" si="184"/>
        <v>166042</v>
      </c>
    </row>
    <row r="127" spans="1:70" outlineLevel="1" x14ac:dyDescent="0.35">
      <c r="A127" s="1" t="s">
        <v>6</v>
      </c>
      <c r="B127" s="1" t="s">
        <v>143</v>
      </c>
      <c r="C127" s="1" t="s">
        <v>8</v>
      </c>
      <c r="D127" s="1" t="s">
        <v>140</v>
      </c>
      <c r="E127" s="1" t="s">
        <v>47</v>
      </c>
      <c r="F127" s="2">
        <v>1</v>
      </c>
      <c r="G127" s="66">
        <v>1</v>
      </c>
      <c r="H127" s="66">
        <v>1</v>
      </c>
      <c r="I127" s="1" t="s">
        <v>611</v>
      </c>
      <c r="J127" s="1" t="s">
        <v>612</v>
      </c>
      <c r="K127" s="1" t="s">
        <v>145</v>
      </c>
      <c r="L127" s="76" t="str">
        <f>IF(M127="","N",STEP!$J$22)</f>
        <v>Y</v>
      </c>
      <c r="M127" s="1" t="s">
        <v>146</v>
      </c>
      <c r="N127" s="1" t="s">
        <v>147</v>
      </c>
      <c r="O127" s="1">
        <v>5</v>
      </c>
      <c r="P127" s="1">
        <v>5</v>
      </c>
      <c r="Q127" s="185">
        <v>20000217</v>
      </c>
      <c r="R127" s="196">
        <v>36573</v>
      </c>
      <c r="S127" s="197">
        <f t="shared" si="163"/>
        <v>271</v>
      </c>
      <c r="T127" s="66">
        <f t="shared" si="164"/>
        <v>23</v>
      </c>
      <c r="U127" s="65">
        <v>20211007</v>
      </c>
      <c r="V127" s="70">
        <v>49.981200000000001</v>
      </c>
      <c r="W127" s="74">
        <f t="shared" si="161"/>
        <v>6.0000000000004494E-4</v>
      </c>
      <c r="X127" s="70" cm="1">
        <f t="array" ref="X127">IF(U127="","",INDEX(STEP!$C:$C,MATCH('Position Control'!M127&amp;'Position Control'!P127,STEP!$A:$A&amp;STEP!$B:$B,0)))</f>
        <v>49.981200000000001</v>
      </c>
      <c r="Y127" s="74">
        <f t="shared" si="165"/>
        <v>0.99939999999999996</v>
      </c>
      <c r="Z127" s="1">
        <v>7704</v>
      </c>
      <c r="AA127" s="112">
        <f>VLOOKUP(Z127,'WRK COMP'!$A$1:$E$17,5,FALSE)</f>
        <v>1.2449999999999999E-2</v>
      </c>
      <c r="AB127" s="76" t="s">
        <v>13</v>
      </c>
      <c r="AC127" s="68">
        <v>0</v>
      </c>
      <c r="AD127" s="209">
        <v>63.469999999999992</v>
      </c>
      <c r="AE127" s="209">
        <v>0</v>
      </c>
      <c r="AF127" s="209">
        <v>0</v>
      </c>
      <c r="AG127" s="209">
        <v>23.08</v>
      </c>
      <c r="AH127" s="209">
        <v>0</v>
      </c>
      <c r="AI127" s="68">
        <v>0</v>
      </c>
      <c r="AJ127" s="10" t="s">
        <v>18</v>
      </c>
      <c r="AK127" s="10" t="s">
        <v>78</v>
      </c>
      <c r="AL127" s="10" t="s">
        <v>49</v>
      </c>
      <c r="AM127" s="78">
        <f>IF(F127&gt;0.79,IF(ROUNDUP(IF(B127="FS",(V127*HRS!$B$9),(V127*HRS!$L$2))*2,-3)&gt;150000,150000,(ROUNDUP(IF(B127="FS",(V127*HRS!$B$9),(V127*HRS!$L$2))*2,-3))),0)</f>
        <v>150000</v>
      </c>
      <c r="AN127" s="188">
        <f t="shared" si="166"/>
        <v>108463</v>
      </c>
      <c r="AO127" s="77">
        <f>IF(L127="N",IF(B127="FS",ROUNDUP($V127*HRS!$B$9*'Position Control'!F127,0),ROUNDUP('Position Control'!$V127*HRS!$L$2*'Position Control'!F127,0)),IF('Position Control'!B127="FS",ROUNDUP(('Position Control'!V127*HRS!$B$9*'Position Control'!W127*'Position Control'!F127)+('Position Control'!X127*HRS!$B$9*'Position Control'!Y127*'Position Control'!F127),0),ROUNDUP(('Position Control'!V127*HRS!$L$2*'Position Control'!W127*'Position Control'!F127)+('Position Control'!X127*HRS!$L$2*'Position Control'!Y127*'Position Control'!F127),0)))*'Position Control'!H127</f>
        <v>103961</v>
      </c>
      <c r="AP127" s="77">
        <f t="shared" si="167"/>
        <v>0</v>
      </c>
      <c r="AQ127" s="77">
        <f t="shared" si="168"/>
        <v>3301</v>
      </c>
      <c r="AR127" s="77">
        <f t="shared" si="169"/>
        <v>1201</v>
      </c>
      <c r="AS127" s="77">
        <v>0</v>
      </c>
      <c r="AT127" s="79">
        <f t="shared" si="170"/>
        <v>0</v>
      </c>
      <c r="AU127" s="77">
        <f t="shared" si="171"/>
        <v>0</v>
      </c>
      <c r="AV127" s="77">
        <v>0</v>
      </c>
      <c r="AW127" s="77">
        <f t="shared" si="172"/>
        <v>0</v>
      </c>
      <c r="AX127" s="77">
        <f t="shared" si="173"/>
        <v>0</v>
      </c>
      <c r="AY127" s="77">
        <f t="shared" si="174"/>
        <v>0</v>
      </c>
      <c r="AZ127" s="77">
        <f t="shared" si="175"/>
        <v>0</v>
      </c>
      <c r="BA127" s="77">
        <f t="shared" si="176"/>
        <v>0</v>
      </c>
      <c r="BB127" s="77">
        <f t="shared" si="177"/>
        <v>0</v>
      </c>
      <c r="BC127" s="77">
        <f t="shared" si="186"/>
        <v>0</v>
      </c>
      <c r="BD127" s="77">
        <f t="shared" si="185"/>
        <v>1200</v>
      </c>
      <c r="BE127" s="77">
        <v>0</v>
      </c>
      <c r="BF127" s="77">
        <f t="shared" si="178"/>
        <v>180</v>
      </c>
      <c r="BG127" s="77">
        <f>VLOOKUP($AJ127,BENE!$I$2:$N$9,6,FALSE)*'Position Control'!$H127</f>
        <v>760</v>
      </c>
      <c r="BH127" s="77">
        <f>VLOOKUP($AK127,BENE!$A$2:$F$19,6,FALSE)*'Position Control'!$H127</f>
        <v>18024</v>
      </c>
      <c r="BI127" s="77">
        <f>VLOOKUP($AK127,BENE!$A$2:$G$19,7,FALSE)*'Position Control'!$H127</f>
        <v>0</v>
      </c>
      <c r="BJ127" s="77">
        <f>VLOOKUP($AL127,BENE!$P$2:$S$6,4,FALSE)*'Position Control'!$H127</f>
        <v>0</v>
      </c>
      <c r="BK127" s="77">
        <f>IF($F127&gt;HRS!$H$2,ROUNDUP(((($AN127+$BE127)*$BK$3)/12*9)+(($AN127+$BE127)*HRS!$B$10/12*3),0),0)*$H127</f>
        <v>18287</v>
      </c>
      <c r="BL127" s="80">
        <f t="shared" si="179"/>
        <v>1351</v>
      </c>
      <c r="BM127" s="77">
        <f t="shared" si="180"/>
        <v>144</v>
      </c>
      <c r="BN127" s="77">
        <f t="shared" si="181"/>
        <v>1573</v>
      </c>
      <c r="BO127" s="77">
        <f t="shared" si="182"/>
        <v>195</v>
      </c>
      <c r="BP127" s="77">
        <f t="shared" si="183"/>
        <v>1750</v>
      </c>
      <c r="BQ127" s="77">
        <v>0</v>
      </c>
      <c r="BR127" s="80">
        <f t="shared" si="184"/>
        <v>151927</v>
      </c>
    </row>
    <row r="128" spans="1:70" outlineLevel="1" x14ac:dyDescent="0.35">
      <c r="A128" s="1" t="s">
        <v>70</v>
      </c>
      <c r="B128" s="1" t="s">
        <v>87</v>
      </c>
      <c r="C128" s="1" t="s">
        <v>8</v>
      </c>
      <c r="D128" s="1" t="s">
        <v>140</v>
      </c>
      <c r="E128" s="1" t="s">
        <v>47</v>
      </c>
      <c r="F128" s="2">
        <v>0.5</v>
      </c>
      <c r="G128" s="66">
        <v>0.5</v>
      </c>
      <c r="H128" s="66">
        <v>1</v>
      </c>
      <c r="I128" s="1" t="s">
        <v>611</v>
      </c>
      <c r="J128" s="1" t="s">
        <v>612</v>
      </c>
      <c r="K128" s="1" t="s">
        <v>141</v>
      </c>
      <c r="L128" s="76" t="str">
        <f>IF(M128="","N",STEP!$J$22)</f>
        <v>N</v>
      </c>
      <c r="M128" s="1" t="s">
        <v>11</v>
      </c>
      <c r="N128" s="1" t="s">
        <v>11</v>
      </c>
      <c r="O128" s="1" t="s">
        <v>11</v>
      </c>
      <c r="P128" s="1"/>
      <c r="Q128" s="185">
        <v>20211025</v>
      </c>
      <c r="R128" s="196">
        <v>44494</v>
      </c>
      <c r="S128" s="197">
        <f t="shared" si="163"/>
        <v>0</v>
      </c>
      <c r="T128" s="66">
        <f t="shared" si="164"/>
        <v>0</v>
      </c>
      <c r="U128" s="65" t="s">
        <v>11</v>
      </c>
      <c r="V128" s="192">
        <v>37.0124</v>
      </c>
      <c r="W128" s="74" t="str">
        <f t="shared" si="161"/>
        <v/>
      </c>
      <c r="X128" s="70" t="str" cm="1">
        <f t="array" ref="X128">IF(U128="","",INDEX(STEP!$C:$C,MATCH('Position Control'!M128&amp;'Position Control'!P128,STEP!$A:$A&amp;STEP!$B:$B,0)))</f>
        <v/>
      </c>
      <c r="Y128" s="74" t="str">
        <f t="shared" si="165"/>
        <v/>
      </c>
      <c r="Z128" s="1">
        <v>8810</v>
      </c>
      <c r="AA128" s="112">
        <f>VLOOKUP(Z128,'WRK COMP'!$A$1:$E$17,5,FALSE)</f>
        <v>1.0169999999999999E-3</v>
      </c>
      <c r="AB128" s="76" t="s">
        <v>13</v>
      </c>
      <c r="AC128" s="68">
        <v>0</v>
      </c>
      <c r="AD128" s="209">
        <v>0</v>
      </c>
      <c r="AE128" s="209">
        <v>0</v>
      </c>
      <c r="AF128" s="209">
        <v>0</v>
      </c>
      <c r="AG128" s="209">
        <v>0</v>
      </c>
      <c r="AH128" s="209">
        <v>12.5</v>
      </c>
      <c r="AI128" s="68">
        <v>0</v>
      </c>
      <c r="AJ128" s="10" t="s">
        <v>49</v>
      </c>
      <c r="AK128" s="10" t="s">
        <v>49</v>
      </c>
      <c r="AL128" s="10" t="s">
        <v>49</v>
      </c>
      <c r="AM128" s="78">
        <f>IF(F128&gt;0.79,IF(ROUNDUP(IF(B128="FS",(V128*HRS!$B$9),(V128*HRS!$L$2))*2,-3)&gt;150000,150000,(ROUNDUP(IF(B128="FS",(V128*HRS!$B$9),(V128*HRS!$L$2))*2,-3))),0)</f>
        <v>0</v>
      </c>
      <c r="AN128" s="188">
        <f t="shared" si="166"/>
        <v>39093</v>
      </c>
      <c r="AO128" s="77">
        <f>IF(L128="N",IF(B128="FS",ROUNDUP($V128*HRS!$B$9*'Position Control'!F128,0),ROUNDUP('Position Control'!$V128*HRS!$L$2*'Position Control'!F128,0)),IF('Position Control'!B128="FS",ROUNDUP(('Position Control'!V128*HRS!$B$9*'Position Control'!W128*'Position Control'!F128)+('Position Control'!X128*HRS!$B$9*'Position Control'!Y128*'Position Control'!F128),0),ROUNDUP(('Position Control'!V128*HRS!$L$2*'Position Control'!W128*'Position Control'!F128)+('Position Control'!X128*HRS!$L$2*'Position Control'!Y128*'Position Control'!F128),0)))*'Position Control'!H128</f>
        <v>38493</v>
      </c>
      <c r="AP128" s="77">
        <f t="shared" si="167"/>
        <v>0</v>
      </c>
      <c r="AQ128" s="77">
        <f t="shared" si="168"/>
        <v>0</v>
      </c>
      <c r="AR128" s="77">
        <f t="shared" si="169"/>
        <v>0</v>
      </c>
      <c r="AS128" s="77">
        <v>0</v>
      </c>
      <c r="AT128" s="79">
        <f t="shared" si="170"/>
        <v>0</v>
      </c>
      <c r="AU128" s="77">
        <f t="shared" si="171"/>
        <v>600</v>
      </c>
      <c r="AV128" s="77">
        <v>0</v>
      </c>
      <c r="AW128" s="77">
        <f t="shared" si="172"/>
        <v>0</v>
      </c>
      <c r="AX128" s="77">
        <f t="shared" si="173"/>
        <v>0</v>
      </c>
      <c r="AY128" s="77">
        <f t="shared" si="174"/>
        <v>0</v>
      </c>
      <c r="AZ128" s="77">
        <f t="shared" si="175"/>
        <v>0</v>
      </c>
      <c r="BA128" s="77">
        <f t="shared" si="176"/>
        <v>0</v>
      </c>
      <c r="BB128" s="77">
        <f t="shared" si="177"/>
        <v>0</v>
      </c>
      <c r="BC128" s="77">
        <f t="shared" si="186"/>
        <v>0</v>
      </c>
      <c r="BD128" s="77">
        <f t="shared" si="185"/>
        <v>0</v>
      </c>
      <c r="BE128" s="77">
        <v>0</v>
      </c>
      <c r="BF128" s="77">
        <f t="shared" si="178"/>
        <v>0</v>
      </c>
      <c r="BG128" s="77">
        <f>VLOOKUP($AJ128,BENE!$I$2:$N$9,6,FALSE)*'Position Control'!$H128</f>
        <v>0</v>
      </c>
      <c r="BH128" s="77">
        <f>VLOOKUP($AK128,BENE!$A$2:$F$19,6,FALSE)*'Position Control'!$H128</f>
        <v>0</v>
      </c>
      <c r="BI128" s="77">
        <f>VLOOKUP($AK128,BENE!$A$2:$G$19,7,FALSE)*'Position Control'!$H128</f>
        <v>0</v>
      </c>
      <c r="BJ128" s="77">
        <f>VLOOKUP($AL128,BENE!$P$2:$S$6,4,FALSE)*'Position Control'!$H128</f>
        <v>0</v>
      </c>
      <c r="BK128" s="77">
        <f>IF($F128&gt;HRS!$H$2,ROUNDUP(((($AN128+$BE128)*$BK$3)/12*9)+(($AN128+$BE128)*HRS!$B$10/12*3),0),0)*$H128</f>
        <v>6592</v>
      </c>
      <c r="BL128" s="80">
        <f t="shared" si="179"/>
        <v>40</v>
      </c>
      <c r="BM128" s="77">
        <f t="shared" si="180"/>
        <v>144</v>
      </c>
      <c r="BN128" s="77">
        <f t="shared" si="181"/>
        <v>567</v>
      </c>
      <c r="BO128" s="77">
        <f t="shared" si="182"/>
        <v>70</v>
      </c>
      <c r="BP128" s="77">
        <f t="shared" si="183"/>
        <v>0</v>
      </c>
      <c r="BQ128" s="77">
        <v>0</v>
      </c>
      <c r="BR128" s="80">
        <f t="shared" si="184"/>
        <v>46506</v>
      </c>
    </row>
    <row r="129" spans="1:70" outlineLevel="1" x14ac:dyDescent="0.35">
      <c r="A129" s="1" t="s">
        <v>6</v>
      </c>
      <c r="B129" s="1" t="s">
        <v>7</v>
      </c>
      <c r="C129" s="1" t="s">
        <v>8</v>
      </c>
      <c r="D129" s="1" t="s">
        <v>140</v>
      </c>
      <c r="E129" s="1" t="s">
        <v>47</v>
      </c>
      <c r="F129" s="2">
        <v>1</v>
      </c>
      <c r="G129" s="66">
        <v>1</v>
      </c>
      <c r="H129" s="66">
        <v>1</v>
      </c>
      <c r="I129" s="1" t="s">
        <v>611</v>
      </c>
      <c r="J129" s="1" t="s">
        <v>612</v>
      </c>
      <c r="K129" s="1" t="s">
        <v>142</v>
      </c>
      <c r="L129" s="76" t="str">
        <f>IF(M129="","N",STEP!$J$22)</f>
        <v>N</v>
      </c>
      <c r="M129" s="1" t="s">
        <v>11</v>
      </c>
      <c r="N129" s="1" t="s">
        <v>11</v>
      </c>
      <c r="O129" s="1" t="s">
        <v>11</v>
      </c>
      <c r="P129" s="1"/>
      <c r="Q129" s="185">
        <v>20060601</v>
      </c>
      <c r="R129" s="196">
        <v>38869</v>
      </c>
      <c r="S129" s="197">
        <f t="shared" si="163"/>
        <v>195</v>
      </c>
      <c r="T129" s="66">
        <f t="shared" si="164"/>
        <v>17</v>
      </c>
      <c r="U129" s="65" t="s">
        <v>11</v>
      </c>
      <c r="V129" s="210">
        <v>30.854800000000001</v>
      </c>
      <c r="W129" s="74" t="str">
        <f t="shared" si="161"/>
        <v/>
      </c>
      <c r="X129" s="70" t="str" cm="1">
        <f t="array" ref="X129">IF(U129="","",INDEX(STEP!$C:$C,MATCH('Position Control'!M129&amp;'Position Control'!P129,STEP!$A:$A&amp;STEP!$B:$B,0)))</f>
        <v/>
      </c>
      <c r="Y129" s="74" t="str">
        <f t="shared" si="165"/>
        <v/>
      </c>
      <c r="Z129" s="1">
        <v>8810</v>
      </c>
      <c r="AA129" s="112">
        <f>VLOOKUP(Z129,'WRK COMP'!$A$1:$E$17,5,FALSE)</f>
        <v>1.0169999999999999E-3</v>
      </c>
      <c r="AB129" s="76" t="s">
        <v>13</v>
      </c>
      <c r="AC129" s="68">
        <v>0</v>
      </c>
      <c r="AD129" s="209">
        <v>0</v>
      </c>
      <c r="AE129" s="209">
        <v>0</v>
      </c>
      <c r="AF129" s="209">
        <v>0</v>
      </c>
      <c r="AG129" s="209">
        <v>0</v>
      </c>
      <c r="AH129" s="209">
        <v>12.5</v>
      </c>
      <c r="AI129" s="68">
        <v>0</v>
      </c>
      <c r="AJ129" s="10" t="s">
        <v>25</v>
      </c>
      <c r="AK129" s="9" t="s">
        <v>49</v>
      </c>
      <c r="AL129" s="10" t="s">
        <v>16</v>
      </c>
      <c r="AM129" s="78">
        <f>IF(F129&gt;0.79,IF(ROUNDUP(IF(B129="FS",(V129*HRS!$B$9),(V129*HRS!$L$2))*2,-3)&gt;150000,150000,(ROUNDUP(IF(B129="FS",(V129*HRS!$B$9),(V129*HRS!$L$2))*2,-3))),0)</f>
        <v>129000</v>
      </c>
      <c r="AN129" s="188">
        <f t="shared" si="166"/>
        <v>64778</v>
      </c>
      <c r="AO129" s="77">
        <f>IF(L129="N",IF(B129="FS",ROUNDUP($V129*HRS!$B$9*'Position Control'!F129,0),ROUNDUP('Position Control'!$V129*HRS!$L$2*'Position Control'!F129,0)),IF('Position Control'!B129="FS",ROUNDUP(('Position Control'!V129*HRS!$B$9*'Position Control'!W129*'Position Control'!F129)+('Position Control'!X129*HRS!$B$9*'Position Control'!Y129*'Position Control'!F129),0),ROUNDUP(('Position Control'!V129*HRS!$L$2*'Position Control'!W129*'Position Control'!F129)+('Position Control'!X129*HRS!$L$2*'Position Control'!Y129*'Position Control'!F129),0)))*'Position Control'!H129</f>
        <v>64178</v>
      </c>
      <c r="AP129" s="77">
        <f t="shared" si="167"/>
        <v>0</v>
      </c>
      <c r="AQ129" s="77">
        <f t="shared" si="168"/>
        <v>0</v>
      </c>
      <c r="AR129" s="77">
        <f t="shared" si="169"/>
        <v>0</v>
      </c>
      <c r="AS129" s="77">
        <v>0</v>
      </c>
      <c r="AT129" s="79">
        <f t="shared" si="170"/>
        <v>0</v>
      </c>
      <c r="AU129" s="77">
        <f t="shared" si="171"/>
        <v>600</v>
      </c>
      <c r="AV129" s="77">
        <v>0</v>
      </c>
      <c r="AW129" s="77">
        <f t="shared" si="172"/>
        <v>0</v>
      </c>
      <c r="AX129" s="77">
        <f t="shared" si="173"/>
        <v>0</v>
      </c>
      <c r="AY129" s="77">
        <f t="shared" si="174"/>
        <v>0</v>
      </c>
      <c r="AZ129" s="77">
        <f t="shared" si="175"/>
        <v>0</v>
      </c>
      <c r="BA129" s="77">
        <f t="shared" si="176"/>
        <v>0</v>
      </c>
      <c r="BB129" s="77">
        <f t="shared" si="177"/>
        <v>0</v>
      </c>
      <c r="BC129" s="77">
        <f t="shared" si="186"/>
        <v>0</v>
      </c>
      <c r="BD129" s="77">
        <f>IF($S129&gt;=12,IF(($S129*5)&gt;1200,1200,$S129*5),0)*$H129</f>
        <v>975</v>
      </c>
      <c r="BE129" s="77">
        <v>0</v>
      </c>
      <c r="BF129" s="77">
        <f t="shared" si="178"/>
        <v>154.80000000000001</v>
      </c>
      <c r="BG129" s="77">
        <f>VLOOKUP($AJ129,BENE!$I$2:$N$9,6,FALSE)*'Position Control'!$H129</f>
        <v>414</v>
      </c>
      <c r="BH129" s="77">
        <f>VLOOKUP($AK129,BENE!$A$2:$F$19,6,FALSE)*'Position Control'!$H129</f>
        <v>0</v>
      </c>
      <c r="BI129" s="77">
        <f>VLOOKUP($AK129,BENE!$A$2:$G$19,7,FALSE)*'Position Control'!$H129</f>
        <v>0</v>
      </c>
      <c r="BJ129" s="77">
        <f>VLOOKUP($AL129,BENE!$P$2:$S$6,4,FALSE)*'Position Control'!$H129</f>
        <v>240</v>
      </c>
      <c r="BK129" s="77">
        <f>IF($F129&gt;HRS!$H$2,ROUNDUP(((($AN129+$BE129)*$BK$3)/12*9)+(($AN129+$BE129)*HRS!$B$10/12*3),0),0)*$H129</f>
        <v>10922</v>
      </c>
      <c r="BL129" s="80">
        <f t="shared" si="179"/>
        <v>66</v>
      </c>
      <c r="BM129" s="77">
        <f t="shared" si="180"/>
        <v>144</v>
      </c>
      <c r="BN129" s="77">
        <f t="shared" si="181"/>
        <v>940</v>
      </c>
      <c r="BO129" s="77">
        <f t="shared" si="182"/>
        <v>117</v>
      </c>
      <c r="BP129" s="77">
        <f t="shared" si="183"/>
        <v>1500</v>
      </c>
      <c r="BQ129" s="77">
        <v>0</v>
      </c>
      <c r="BR129" s="80">
        <f t="shared" si="184"/>
        <v>80250.8</v>
      </c>
    </row>
    <row r="130" spans="1:70" outlineLevel="1" x14ac:dyDescent="0.35">
      <c r="A130" s="1" t="s">
        <v>6</v>
      </c>
      <c r="B130" s="1" t="s">
        <v>7</v>
      </c>
      <c r="C130" s="1" t="s">
        <v>8</v>
      </c>
      <c r="D130" s="1" t="s">
        <v>140</v>
      </c>
      <c r="E130" s="1" t="s">
        <v>47</v>
      </c>
      <c r="F130" s="2">
        <v>1</v>
      </c>
      <c r="G130" s="66">
        <v>1</v>
      </c>
      <c r="H130" s="66">
        <v>1</v>
      </c>
      <c r="I130" s="1" t="s">
        <v>611</v>
      </c>
      <c r="J130" s="1" t="s">
        <v>612</v>
      </c>
      <c r="K130" s="1" t="s">
        <v>150</v>
      </c>
      <c r="L130" s="76" t="str">
        <f>IF(M130="","N",STEP!$J$22)</f>
        <v>N</v>
      </c>
      <c r="M130" s="1" t="s">
        <v>11</v>
      </c>
      <c r="N130" s="1" t="s">
        <v>11</v>
      </c>
      <c r="O130" s="1" t="s">
        <v>11</v>
      </c>
      <c r="P130" s="1"/>
      <c r="Q130" s="185">
        <v>20210222</v>
      </c>
      <c r="R130" s="196">
        <v>44249</v>
      </c>
      <c r="S130" s="197">
        <f t="shared" si="163"/>
        <v>19</v>
      </c>
      <c r="T130" s="66">
        <f t="shared" si="164"/>
        <v>2</v>
      </c>
      <c r="U130" s="65" t="s">
        <v>11</v>
      </c>
      <c r="V130" s="210">
        <v>25.997599999999998</v>
      </c>
      <c r="W130" s="74" t="str">
        <f t="shared" si="161"/>
        <v/>
      </c>
      <c r="X130" s="70" t="str" cm="1">
        <f t="array" ref="X130">IF(U130="","",INDEX(STEP!$C:$C,MATCH('Position Control'!M130&amp;'Position Control'!P130,STEP!$A:$A&amp;STEP!$B:$B,0)))</f>
        <v/>
      </c>
      <c r="Y130" s="74" t="str">
        <f t="shared" si="165"/>
        <v/>
      </c>
      <c r="Z130" s="1">
        <v>8810</v>
      </c>
      <c r="AA130" s="112">
        <f>VLOOKUP(Z130,'WRK COMP'!$A$1:$E$17,5,FALSE)</f>
        <v>1.0169999999999999E-3</v>
      </c>
      <c r="AB130" s="76" t="s">
        <v>13</v>
      </c>
      <c r="AC130" s="68">
        <v>0</v>
      </c>
      <c r="AD130" s="209">
        <v>0</v>
      </c>
      <c r="AE130" s="209">
        <v>0</v>
      </c>
      <c r="AF130" s="209">
        <v>0</v>
      </c>
      <c r="AG130" s="209">
        <v>0</v>
      </c>
      <c r="AH130" s="209">
        <v>12.5</v>
      </c>
      <c r="AI130" s="68">
        <v>0</v>
      </c>
      <c r="AJ130" s="10" t="s">
        <v>28</v>
      </c>
      <c r="AK130" s="10" t="s">
        <v>15</v>
      </c>
      <c r="AL130" s="10" t="s">
        <v>16</v>
      </c>
      <c r="AM130" s="78">
        <f>IF(F130&gt;0.79,IF(ROUNDUP(IF(B130="FS",(V130*HRS!$B$9),(V130*HRS!$L$2))*2,-3)&gt;150000,150000,(ROUNDUP(IF(B130="FS",(V130*HRS!$B$9),(V130*HRS!$L$2))*2,-3))),0)</f>
        <v>109000</v>
      </c>
      <c r="AN130" s="188">
        <f t="shared" si="166"/>
        <v>54676</v>
      </c>
      <c r="AO130" s="77">
        <f>IF(L130="N",IF(B130="FS",ROUNDUP($V130*HRS!$B$9*'Position Control'!F130,0),ROUNDUP('Position Control'!$V130*HRS!$L$2*'Position Control'!F130,0)),IF('Position Control'!B130="FS",ROUNDUP(('Position Control'!V130*HRS!$B$9*'Position Control'!W130*'Position Control'!F130)+('Position Control'!X130*HRS!$B$9*'Position Control'!Y130*'Position Control'!F130),0),ROUNDUP(('Position Control'!V130*HRS!$L$2*'Position Control'!W130*'Position Control'!F130)+('Position Control'!X130*HRS!$L$2*'Position Control'!Y130*'Position Control'!F130),0)))*'Position Control'!H130</f>
        <v>54076</v>
      </c>
      <c r="AP130" s="77">
        <f t="shared" si="167"/>
        <v>0</v>
      </c>
      <c r="AQ130" s="77">
        <f t="shared" si="168"/>
        <v>0</v>
      </c>
      <c r="AR130" s="77">
        <f t="shared" si="169"/>
        <v>0</v>
      </c>
      <c r="AS130" s="77">
        <v>0</v>
      </c>
      <c r="AT130" s="79">
        <f t="shared" si="170"/>
        <v>0</v>
      </c>
      <c r="AU130" s="77">
        <f t="shared" si="171"/>
        <v>600</v>
      </c>
      <c r="AV130" s="77">
        <v>0</v>
      </c>
      <c r="AW130" s="77">
        <f t="shared" si="172"/>
        <v>0</v>
      </c>
      <c r="AX130" s="77">
        <f t="shared" si="173"/>
        <v>0</v>
      </c>
      <c r="AY130" s="77">
        <f t="shared" si="174"/>
        <v>0</v>
      </c>
      <c r="AZ130" s="77">
        <f t="shared" si="175"/>
        <v>0</v>
      </c>
      <c r="BA130" s="77">
        <f t="shared" si="176"/>
        <v>0</v>
      </c>
      <c r="BB130" s="77">
        <f t="shared" si="177"/>
        <v>0</v>
      </c>
      <c r="BC130" s="77">
        <f t="shared" si="186"/>
        <v>0</v>
      </c>
      <c r="BD130" s="77">
        <f>IF($S130&gt;=12,IF(($S130*5)&gt;1200,1200,$S130*5),0)*$H130</f>
        <v>95</v>
      </c>
      <c r="BE130" s="77">
        <v>0</v>
      </c>
      <c r="BF130" s="77">
        <f t="shared" si="178"/>
        <v>130.80000000000001</v>
      </c>
      <c r="BG130" s="77">
        <f>VLOOKUP($AJ130,BENE!$I$2:$N$9,6,FALSE)*'Position Control'!$H130</f>
        <v>154</v>
      </c>
      <c r="BH130" s="77">
        <f>VLOOKUP($AK130,BENE!$A$2:$F$19,6,FALSE)*'Position Control'!$H130</f>
        <v>6142</v>
      </c>
      <c r="BI130" s="77">
        <f>VLOOKUP($AK130,BENE!$A$2:$G$19,7,FALSE)*'Position Control'!$H130</f>
        <v>1000</v>
      </c>
      <c r="BJ130" s="77">
        <f>VLOOKUP($AL130,BENE!$P$2:$S$6,4,FALSE)*'Position Control'!$H130</f>
        <v>240</v>
      </c>
      <c r="BK130" s="77">
        <f>IF($F130&gt;HRS!$H$2,ROUNDUP(((($AN130+$BE130)*$BK$3)/12*9)+(($AN130+$BE130)*HRS!$B$10/12*3),0),0)*$H130</f>
        <v>9219</v>
      </c>
      <c r="BL130" s="80">
        <f t="shared" si="179"/>
        <v>56</v>
      </c>
      <c r="BM130" s="77">
        <f t="shared" si="180"/>
        <v>144</v>
      </c>
      <c r="BN130" s="77">
        <f t="shared" si="181"/>
        <v>793</v>
      </c>
      <c r="BO130" s="77">
        <f t="shared" si="182"/>
        <v>98</v>
      </c>
      <c r="BP130" s="77">
        <f t="shared" si="183"/>
        <v>0</v>
      </c>
      <c r="BQ130" s="77">
        <v>0</v>
      </c>
      <c r="BR130" s="80">
        <f t="shared" si="184"/>
        <v>72747.8</v>
      </c>
    </row>
    <row r="131" spans="1:70" outlineLevel="1" x14ac:dyDescent="0.35">
      <c r="A131" s="1" t="s">
        <v>6</v>
      </c>
      <c r="B131" s="1" t="s">
        <v>7</v>
      </c>
      <c r="C131" s="1" t="s">
        <v>8</v>
      </c>
      <c r="D131" s="1" t="s">
        <v>140</v>
      </c>
      <c r="E131" s="1" t="s">
        <v>47</v>
      </c>
      <c r="F131" s="2">
        <v>1</v>
      </c>
      <c r="G131" s="66">
        <v>1</v>
      </c>
      <c r="H131" s="66">
        <v>1</v>
      </c>
      <c r="I131" s="1" t="s">
        <v>611</v>
      </c>
      <c r="J131" s="1" t="s">
        <v>612</v>
      </c>
      <c r="K131" s="1" t="s">
        <v>148</v>
      </c>
      <c r="L131" s="76" t="str">
        <f>IF(M131="","N",STEP!$J$22)</f>
        <v>N</v>
      </c>
      <c r="M131" s="1" t="s">
        <v>11</v>
      </c>
      <c r="N131" s="1" t="s">
        <v>11</v>
      </c>
      <c r="O131" s="1" t="s">
        <v>11</v>
      </c>
      <c r="P131" s="1"/>
      <c r="Q131" s="185">
        <v>20130410</v>
      </c>
      <c r="R131" s="196">
        <v>41374</v>
      </c>
      <c r="S131" s="197">
        <f t="shared" si="163"/>
        <v>113</v>
      </c>
      <c r="T131" s="66">
        <f t="shared" si="164"/>
        <v>10</v>
      </c>
      <c r="U131" s="65" t="s">
        <v>11</v>
      </c>
      <c r="V131" s="70">
        <v>27.552800000000001</v>
      </c>
      <c r="W131" s="74" t="str">
        <f t="shared" si="161"/>
        <v/>
      </c>
      <c r="X131" s="70" t="str" cm="1">
        <f t="array" ref="X131">IF(U131="","",INDEX(STEP!$C:$C,MATCH('Position Control'!M131&amp;'Position Control'!P131,STEP!$A:$A&amp;STEP!$B:$B,0)))</f>
        <v/>
      </c>
      <c r="Y131" s="74" t="str">
        <f t="shared" si="165"/>
        <v/>
      </c>
      <c r="Z131" s="1">
        <v>4511</v>
      </c>
      <c r="AA131" s="112">
        <f>VLOOKUP(Z131,'WRK COMP'!$A$1:$E$17,5,FALSE)</f>
        <v>2.1580000000000002E-3</v>
      </c>
      <c r="AB131" s="76" t="s">
        <v>13</v>
      </c>
      <c r="AC131" s="68">
        <v>0</v>
      </c>
      <c r="AD131" s="209">
        <v>17.309999999999999</v>
      </c>
      <c r="AE131" s="209">
        <v>0</v>
      </c>
      <c r="AF131" s="209">
        <v>0</v>
      </c>
      <c r="AG131" s="209">
        <v>0</v>
      </c>
      <c r="AH131" s="209">
        <v>0</v>
      </c>
      <c r="AI131" s="68">
        <v>0</v>
      </c>
      <c r="AJ131" s="10" t="s">
        <v>25</v>
      </c>
      <c r="AK131" s="10" t="s">
        <v>52</v>
      </c>
      <c r="AL131" s="10" t="s">
        <v>53</v>
      </c>
      <c r="AM131" s="78">
        <f>IF(F131&gt;0.79,IF(ROUNDUP(IF(B131="FS",(V131*HRS!$B$9),(V131*HRS!$L$2))*2,-3)&gt;150000,150000,(ROUNDUP(IF(B131="FS",(V131*HRS!$B$9),(V131*HRS!$L$2))*2,-3))),0)</f>
        <v>115000</v>
      </c>
      <c r="AN131" s="188">
        <f t="shared" si="166"/>
        <v>58211</v>
      </c>
      <c r="AO131" s="77">
        <f>IF(L131="N",IF(B131="FS",ROUNDUP($V131*HRS!$B$9*'Position Control'!F131,0),ROUNDUP('Position Control'!$V131*HRS!$L$2*'Position Control'!F131,0)),IF('Position Control'!B131="FS",ROUNDUP(('Position Control'!V131*HRS!$B$9*'Position Control'!W131*'Position Control'!F131)+('Position Control'!X131*HRS!$B$9*'Position Control'!Y131*'Position Control'!F131),0),ROUNDUP(('Position Control'!V131*HRS!$L$2*'Position Control'!W131*'Position Control'!F131)+('Position Control'!X131*HRS!$L$2*'Position Control'!Y131*'Position Control'!F131),0)))*'Position Control'!H131</f>
        <v>57310</v>
      </c>
      <c r="AP131" s="77">
        <f t="shared" si="167"/>
        <v>0</v>
      </c>
      <c r="AQ131" s="77">
        <f t="shared" si="168"/>
        <v>901</v>
      </c>
      <c r="AR131" s="77">
        <f t="shared" si="169"/>
        <v>0</v>
      </c>
      <c r="AS131" s="77">
        <v>0</v>
      </c>
      <c r="AT131" s="79">
        <f t="shared" si="170"/>
        <v>0</v>
      </c>
      <c r="AU131" s="77">
        <f t="shared" si="171"/>
        <v>0</v>
      </c>
      <c r="AV131" s="77">
        <v>0</v>
      </c>
      <c r="AW131" s="77">
        <f t="shared" si="172"/>
        <v>0</v>
      </c>
      <c r="AX131" s="77">
        <f t="shared" si="173"/>
        <v>0</v>
      </c>
      <c r="AY131" s="77">
        <f t="shared" si="174"/>
        <v>0</v>
      </c>
      <c r="AZ131" s="77">
        <f t="shared" si="175"/>
        <v>0</v>
      </c>
      <c r="BA131" s="77">
        <f t="shared" si="176"/>
        <v>0</v>
      </c>
      <c r="BB131" s="77">
        <f t="shared" si="177"/>
        <v>0</v>
      </c>
      <c r="BC131" s="77">
        <f t="shared" si="186"/>
        <v>0</v>
      </c>
      <c r="BD131" s="77">
        <f>IF($S131&gt;=12,IF(($S131*5)&gt;1200,1200,$S131*5),0)*$H131</f>
        <v>565</v>
      </c>
      <c r="BE131" s="77">
        <v>0</v>
      </c>
      <c r="BF131" s="77">
        <f t="shared" si="178"/>
        <v>138</v>
      </c>
      <c r="BG131" s="77">
        <f>VLOOKUP($AJ131,BENE!$I$2:$N$9,6,FALSE)*'Position Control'!$H131</f>
        <v>414</v>
      </c>
      <c r="BH131" s="77">
        <f>VLOOKUP($AK131,BENE!$A$2:$F$19,6,FALSE)*'Position Control'!$H131</f>
        <v>10714</v>
      </c>
      <c r="BI131" s="77">
        <f>VLOOKUP($AK131,BENE!$A$2:$G$19,7,FALSE)*'Position Control'!$H131</f>
        <v>1500</v>
      </c>
      <c r="BJ131" s="77">
        <f>VLOOKUP($AL131,BENE!$P$2:$S$6,4,FALSE)*'Position Control'!$H131</f>
        <v>372</v>
      </c>
      <c r="BK131" s="77">
        <f>IF($F131&gt;HRS!$H$2,ROUNDUP(((($AN131+$BE131)*$BK$3)/12*9)+(($AN131+$BE131)*HRS!$B$10/12*3),0),0)*$H131</f>
        <v>9815</v>
      </c>
      <c r="BL131" s="80">
        <f t="shared" si="179"/>
        <v>126</v>
      </c>
      <c r="BM131" s="77">
        <f t="shared" si="180"/>
        <v>144</v>
      </c>
      <c r="BN131" s="77">
        <f t="shared" si="181"/>
        <v>845</v>
      </c>
      <c r="BO131" s="77">
        <f t="shared" si="182"/>
        <v>105</v>
      </c>
      <c r="BP131" s="77">
        <f t="shared" si="183"/>
        <v>1000</v>
      </c>
      <c r="BQ131" s="77">
        <v>0</v>
      </c>
      <c r="BR131" s="80">
        <f t="shared" si="184"/>
        <v>83949</v>
      </c>
    </row>
    <row r="132" spans="1:70" outlineLevel="1" x14ac:dyDescent="0.35">
      <c r="A132" s="1"/>
      <c r="B132" s="1"/>
      <c r="C132" s="1"/>
      <c r="D132" s="1"/>
      <c r="E132" s="1"/>
      <c r="F132" s="2">
        <v>1</v>
      </c>
      <c r="G132" s="66">
        <v>0</v>
      </c>
      <c r="H132" s="66">
        <v>1</v>
      </c>
      <c r="I132" s="10" t="s">
        <v>409</v>
      </c>
      <c r="J132" s="10" t="s">
        <v>410</v>
      </c>
      <c r="K132" s="1"/>
      <c r="L132" s="76" t="str">
        <f>IF(M132="","N",STEP!$J$22)</f>
        <v>N</v>
      </c>
      <c r="M132" s="1"/>
      <c r="N132" s="1"/>
      <c r="O132" s="1"/>
      <c r="P132" s="1"/>
      <c r="Q132" s="185">
        <v>20221002</v>
      </c>
      <c r="R132" s="196">
        <v>44836</v>
      </c>
      <c r="S132" s="197">
        <f t="shared" si="163"/>
        <v>0</v>
      </c>
      <c r="T132" s="66">
        <f t="shared" si="164"/>
        <v>0</v>
      </c>
      <c r="U132" s="1"/>
      <c r="V132" s="70">
        <v>0</v>
      </c>
      <c r="W132" s="74" t="str">
        <f t="shared" si="161"/>
        <v/>
      </c>
      <c r="X132" s="70"/>
      <c r="Y132" s="74" t="str">
        <f t="shared" si="165"/>
        <v/>
      </c>
      <c r="Z132" s="1">
        <v>7704</v>
      </c>
      <c r="AA132" s="112">
        <f>VLOOKUP(Z132,'WRK COMP'!$A$1:$E$17,5,FALSE)</f>
        <v>1.2449999999999999E-2</v>
      </c>
      <c r="AB132" s="76" t="s">
        <v>13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10" t="s">
        <v>49</v>
      </c>
      <c r="AK132" s="10" t="s">
        <v>49</v>
      </c>
      <c r="AL132" s="10" t="s">
        <v>49</v>
      </c>
      <c r="AM132" s="78">
        <f>IF(F132&gt;0.79,IF(ROUNDUP(IF(B132="FS",(V132*HRS!$B$9),(V132*HRS!$L$2))*2,-3)&gt;150000,150000,(ROUNDUP(IF(B132="FS",(V132*HRS!$B$9),(V132*HRS!$L$2))*2,-3))),0)</f>
        <v>0</v>
      </c>
      <c r="AN132" s="188">
        <f t="shared" si="166"/>
        <v>3000</v>
      </c>
      <c r="AO132" s="77">
        <f>IF(L132="N",IF(B132="FS",ROUNDUP($V132*HRS!$B$9*'Position Control'!F132,0),ROUNDUP('Position Control'!$V132*HRS!$L$2*'Position Control'!F132,0)),IF('Position Control'!B132="FS",ROUNDUP(('Position Control'!V132*HRS!$B$9*'Position Control'!W132*'Position Control'!F132)+('Position Control'!X132*HRS!$B$9*'Position Control'!Y132*'Position Control'!F132),0),ROUNDUP(('Position Control'!V132*HRS!$L$2*'Position Control'!W132*'Position Control'!F132)+('Position Control'!X132*HRS!$L$2*'Position Control'!Y132*'Position Control'!F132),0)))*'Position Control'!H132</f>
        <v>0</v>
      </c>
      <c r="AP132" s="77">
        <f t="shared" si="167"/>
        <v>0</v>
      </c>
      <c r="AQ132" s="77">
        <f t="shared" si="168"/>
        <v>0</v>
      </c>
      <c r="AR132" s="77">
        <f t="shared" si="169"/>
        <v>0</v>
      </c>
      <c r="AS132" s="77">
        <f>'DIVISION BUDGETS'!B23</f>
        <v>3000</v>
      </c>
      <c r="AT132" s="79">
        <f t="shared" si="170"/>
        <v>0</v>
      </c>
      <c r="AU132" s="77">
        <f t="shared" si="171"/>
        <v>0</v>
      </c>
      <c r="AV132" s="77">
        <v>0</v>
      </c>
      <c r="AW132" s="77">
        <f t="shared" si="172"/>
        <v>0</v>
      </c>
      <c r="AX132" s="77">
        <f t="shared" si="173"/>
        <v>0</v>
      </c>
      <c r="AY132" s="77">
        <f t="shared" si="174"/>
        <v>0</v>
      </c>
      <c r="AZ132" s="77">
        <f t="shared" si="175"/>
        <v>0</v>
      </c>
      <c r="BA132" s="77">
        <f t="shared" si="176"/>
        <v>0</v>
      </c>
      <c r="BB132" s="77">
        <f t="shared" si="177"/>
        <v>0</v>
      </c>
      <c r="BC132" s="77">
        <f t="shared" si="186"/>
        <v>0</v>
      </c>
      <c r="BD132" s="77">
        <f>IF($S132&gt;=12,IF(($S132*5)&gt;1200,1200,$S132*5),0)*$H132</f>
        <v>0</v>
      </c>
      <c r="BE132" s="77">
        <f>'DIVISION BUDGETS'!D23</f>
        <v>4500</v>
      </c>
      <c r="BF132" s="77">
        <f t="shared" si="178"/>
        <v>0</v>
      </c>
      <c r="BG132" s="77">
        <f>VLOOKUP($AJ132,BENE!$I$2:$N$9,6,FALSE)*'Position Control'!$H132</f>
        <v>0</v>
      </c>
      <c r="BH132" s="77">
        <f>VLOOKUP($AK132,BENE!$A$2:$F$19,6,FALSE)*'Position Control'!$H132</f>
        <v>0</v>
      </c>
      <c r="BI132" s="77">
        <f>VLOOKUP($AK132,BENE!$A$2:$G$19,7,FALSE)*'Position Control'!$H132</f>
        <v>0</v>
      </c>
      <c r="BJ132" s="77">
        <f>VLOOKUP($AL132,BENE!$P$2:$S$6,4,FALSE)*'Position Control'!$H132</f>
        <v>0</v>
      </c>
      <c r="BK132" s="77">
        <f>IF($F132&gt;HRS!$H$2,ROUNDUP(((($AN132+$BE132)*$BK$3)/12*9)+(($AN132+$BE132)*HRS!$B$10/12*3),0),0)*$H132</f>
        <v>1265</v>
      </c>
      <c r="BL132" s="80">
        <f t="shared" si="179"/>
        <v>38</v>
      </c>
      <c r="BM132" s="77">
        <f t="shared" si="180"/>
        <v>48</v>
      </c>
      <c r="BN132" s="77">
        <f t="shared" si="181"/>
        <v>44</v>
      </c>
      <c r="BO132" s="77">
        <f t="shared" si="182"/>
        <v>5</v>
      </c>
      <c r="BP132" s="77">
        <f t="shared" si="183"/>
        <v>0</v>
      </c>
      <c r="BQ132" s="77">
        <f>'DIVISION BUDGETS'!G23</f>
        <v>240</v>
      </c>
      <c r="BR132" s="80">
        <f t="shared" si="184"/>
        <v>9140</v>
      </c>
    </row>
    <row r="133" spans="1:70" s="171" customFormat="1" x14ac:dyDescent="0.35">
      <c r="A133" s="161"/>
      <c r="B133" s="161"/>
      <c r="C133" s="161"/>
      <c r="D133" s="161"/>
      <c r="E133" s="161"/>
      <c r="F133" s="162"/>
      <c r="G133" s="163">
        <f>SUBTOTAL(9,G122:G132)</f>
        <v>9.5</v>
      </c>
      <c r="H133" s="163"/>
      <c r="I133" s="161" t="s">
        <v>559</v>
      </c>
      <c r="J133" s="161"/>
      <c r="K133" s="161"/>
      <c r="L133" s="164"/>
      <c r="M133" s="161"/>
      <c r="N133" s="161"/>
      <c r="O133" s="161"/>
      <c r="P133" s="161"/>
      <c r="Q133" s="186"/>
      <c r="R133" s="200"/>
      <c r="S133" s="208"/>
      <c r="T133" s="163"/>
      <c r="U133" s="161"/>
      <c r="V133" s="165"/>
      <c r="W133" s="166"/>
      <c r="X133" s="165"/>
      <c r="Y133" s="166"/>
      <c r="Z133" s="161"/>
      <c r="AA133" s="167"/>
      <c r="AB133" s="164"/>
      <c r="AC133" s="168"/>
      <c r="AD133" s="168"/>
      <c r="AE133" s="168"/>
      <c r="AF133" s="168"/>
      <c r="AG133" s="168"/>
      <c r="AH133" s="168"/>
      <c r="AI133" s="168"/>
      <c r="AJ133" s="161"/>
      <c r="AK133" s="161"/>
      <c r="AL133" s="161"/>
      <c r="AM133" s="169"/>
      <c r="AN133" s="189">
        <f>SUBTOTAL(9,AN122:AN132)</f>
        <v>1042268</v>
      </c>
      <c r="AO133" s="170">
        <f>SUBTOTAL(9,AO122:AO132)</f>
        <v>1014909</v>
      </c>
      <c r="AP133" s="170">
        <f t="shared" ref="AP133:BR133" si="187">SUBTOTAL(9,AP122:AP132)</f>
        <v>0</v>
      </c>
      <c r="AQ133" s="170">
        <f t="shared" si="187"/>
        <v>12755</v>
      </c>
      <c r="AR133" s="170">
        <f t="shared" si="187"/>
        <v>7404</v>
      </c>
      <c r="AS133" s="170">
        <f t="shared" si="187"/>
        <v>3000</v>
      </c>
      <c r="AT133" s="170">
        <f t="shared" si="187"/>
        <v>0</v>
      </c>
      <c r="AU133" s="170">
        <f t="shared" si="187"/>
        <v>4200</v>
      </c>
      <c r="AV133" s="170">
        <f t="shared" si="187"/>
        <v>0</v>
      </c>
      <c r="AW133" s="170">
        <f t="shared" si="187"/>
        <v>0</v>
      </c>
      <c r="AX133" s="170">
        <f t="shared" si="187"/>
        <v>0</v>
      </c>
      <c r="AY133" s="170">
        <f t="shared" si="187"/>
        <v>0</v>
      </c>
      <c r="AZ133" s="170">
        <f t="shared" si="187"/>
        <v>0</v>
      </c>
      <c r="BA133" s="170">
        <f t="shared" si="187"/>
        <v>0</v>
      </c>
      <c r="BB133" s="170">
        <f t="shared" si="187"/>
        <v>0</v>
      </c>
      <c r="BC133" s="170">
        <f t="shared" si="187"/>
        <v>0</v>
      </c>
      <c r="BD133" s="170">
        <f t="shared" si="187"/>
        <v>7385</v>
      </c>
      <c r="BE133" s="170">
        <f t="shared" si="187"/>
        <v>4500</v>
      </c>
      <c r="BF133" s="170">
        <f t="shared" si="187"/>
        <v>1503.6</v>
      </c>
      <c r="BG133" s="170">
        <f t="shared" si="187"/>
        <v>4090</v>
      </c>
      <c r="BH133" s="170">
        <f t="shared" si="187"/>
        <v>80378</v>
      </c>
      <c r="BI133" s="170">
        <f t="shared" si="187"/>
        <v>5500</v>
      </c>
      <c r="BJ133" s="170">
        <f t="shared" si="187"/>
        <v>1464</v>
      </c>
      <c r="BK133" s="170">
        <f t="shared" si="187"/>
        <v>176491</v>
      </c>
      <c r="BL133" s="170">
        <f t="shared" si="187"/>
        <v>10570</v>
      </c>
      <c r="BM133" s="170">
        <f t="shared" si="187"/>
        <v>1488</v>
      </c>
      <c r="BN133" s="170">
        <f t="shared" si="187"/>
        <v>13091</v>
      </c>
      <c r="BO133" s="170">
        <f t="shared" si="187"/>
        <v>1876</v>
      </c>
      <c r="BP133" s="170">
        <f t="shared" si="187"/>
        <v>11500</v>
      </c>
      <c r="BQ133" s="170">
        <f t="shared" si="187"/>
        <v>240</v>
      </c>
      <c r="BR133" s="170">
        <f t="shared" si="187"/>
        <v>1362344.6</v>
      </c>
    </row>
    <row r="134" spans="1:70" outlineLevel="1" x14ac:dyDescent="0.35">
      <c r="A134" s="1" t="s">
        <v>6</v>
      </c>
      <c r="B134" s="1" t="s">
        <v>156</v>
      </c>
      <c r="C134" s="1" t="s">
        <v>8</v>
      </c>
      <c r="D134" s="1" t="s">
        <v>140</v>
      </c>
      <c r="E134" s="1" t="s">
        <v>89</v>
      </c>
      <c r="F134" s="2">
        <v>1</v>
      </c>
      <c r="G134" s="66">
        <v>1</v>
      </c>
      <c r="H134" s="66">
        <v>1</v>
      </c>
      <c r="I134" s="1" t="s">
        <v>611</v>
      </c>
      <c r="J134" s="1" t="s">
        <v>612</v>
      </c>
      <c r="K134" s="1" t="s">
        <v>184</v>
      </c>
      <c r="L134" s="76" t="str">
        <f>IF(M134="","N",STEP!$J$22)</f>
        <v>Y</v>
      </c>
      <c r="M134" s="1" t="s">
        <v>168</v>
      </c>
      <c r="N134" s="1" t="s">
        <v>169</v>
      </c>
      <c r="O134" s="1">
        <v>4</v>
      </c>
      <c r="P134" s="1">
        <v>4</v>
      </c>
      <c r="Q134" s="185">
        <v>19980820</v>
      </c>
      <c r="R134" s="196">
        <v>36027</v>
      </c>
      <c r="S134" s="197">
        <f t="shared" ref="S134:S171" si="188">IF(A134="FT",IF(R134&gt;$S$1,0,(DATEDIF(R134,$S$1,"M"))),0)</f>
        <v>289</v>
      </c>
      <c r="T134" s="66">
        <f t="shared" ref="T134:T171" si="189">ROUNDDOWN(IF(A134="FT",DATEDIF(R134,$T$1,"y"),0),0)</f>
        <v>25</v>
      </c>
      <c r="U134" s="65">
        <v>20220922</v>
      </c>
      <c r="V134" s="70">
        <v>43.685899999999997</v>
      </c>
      <c r="W134" s="74">
        <f t="shared" si="161"/>
        <v>0.99209999999999998</v>
      </c>
      <c r="X134" s="70" cm="1">
        <f t="array" ref="X134">IF(U134="","",INDEX(STEP!$C:$C,MATCH('Position Control'!M134&amp;'Position Control'!P134,STEP!$A:$A&amp;STEP!$B:$B,0)))</f>
        <v>43.685899999999997</v>
      </c>
      <c r="Y134" s="74">
        <f t="shared" ref="Y134:Y170" si="190">IF(L134="Y",(20221001-U134)/10000,"")</f>
        <v>7.9000000000000008E-3</v>
      </c>
      <c r="Z134" s="1">
        <v>7704</v>
      </c>
      <c r="AA134" s="112">
        <f>VLOOKUP(Z134,'WRK COMP'!$A$1:$E$17,5,FALSE)</f>
        <v>1.2449999999999999E-2</v>
      </c>
      <c r="AB134" s="76" t="s">
        <v>13</v>
      </c>
      <c r="AC134" s="68">
        <v>0</v>
      </c>
      <c r="AD134" s="209">
        <v>37.5</v>
      </c>
      <c r="AE134" s="209">
        <v>0</v>
      </c>
      <c r="AF134" s="209">
        <v>0</v>
      </c>
      <c r="AG134" s="209">
        <v>50</v>
      </c>
      <c r="AH134" s="68">
        <v>0</v>
      </c>
      <c r="AI134" s="68">
        <v>0</v>
      </c>
      <c r="AJ134" s="10" t="s">
        <v>28</v>
      </c>
      <c r="AK134" s="10" t="s">
        <v>49</v>
      </c>
      <c r="AL134" s="10" t="s">
        <v>16</v>
      </c>
      <c r="AM134" s="78">
        <f>IF(F134&gt;0.79,IF(ROUNDUP(IF(B134="FS",(V134*HRS!$B$9),(V134*HRS!$L$2))*2,-3)&gt;150000,150000,(ROUNDUP(IF(B134="FS",(V134*HRS!$B$9),(V134*HRS!$L$2))*2,-3))),0)</f>
        <v>150000</v>
      </c>
      <c r="AN134" s="188">
        <f t="shared" ref="AN134:AN146" si="191">SUM(AO134:BB134)</f>
        <v>121363</v>
      </c>
      <c r="AO134" s="77">
        <f>IF(L134="N",IF(B134="FS",ROUNDUP($V134*HRS!$B$9*'Position Control'!F134,0),ROUNDUP('Position Control'!$V134*HRS!$L$2*'Position Control'!F134,0)),IF('Position Control'!B134="FS",ROUNDUP(('Position Control'!V134*HRS!$B$9*'Position Control'!W134*'Position Control'!F134)+('Position Control'!X134*HRS!$B$9*'Position Control'!Y134*'Position Control'!F134),0),ROUNDUP(('Position Control'!V134*HRS!$L$2*'Position Control'!W134*'Position Control'!F134)+('Position Control'!X134*HRS!$L$2*'Position Control'!Y134*'Position Control'!F134),0)))*'Position Control'!H134</f>
        <v>119263</v>
      </c>
      <c r="AP134" s="77">
        <f t="shared" ref="AP134:AP171" si="192">ROUNDUP(52*AC134,0)*H134</f>
        <v>0</v>
      </c>
      <c r="AQ134" s="77">
        <f t="shared" ref="AQ134:AQ171" si="193">IF(B134="FS",ROUNDUP(24*AD134,0),IF(B134="POL",ROUNDUP(26*AD134,0),ROUNDUP(52*AD134,0)))*$H134</f>
        <v>900</v>
      </c>
      <c r="AR134" s="77">
        <f t="shared" ref="AR134:AR171" si="194">IF(B134="FS",ROUNDUP(AG134*24,0),ROUNDUP(52*AG134,0))*H134</f>
        <v>1200</v>
      </c>
      <c r="AS134" s="77">
        <v>0</v>
      </c>
      <c r="AT134" s="79">
        <f t="shared" ref="AT134:AT171" si="195">ROUNDUP(26*AF134,0)*H134</f>
        <v>0</v>
      </c>
      <c r="AU134" s="77">
        <f t="shared" ref="AU134:AU171" si="196">IF(B134="FS",ROUNDUP(24*AH134,0),IF(B134="POL",ROUNDUP(26*AH134,0),ROUNDUP(48*AH134,0)))*$H134</f>
        <v>0</v>
      </c>
      <c r="AV134" s="77">
        <v>0</v>
      </c>
      <c r="AW134" s="77">
        <f t="shared" ref="AW134:AW171" si="197">IF(B134="FS",ROUNDUP(24*AE134,0),IF(B134="POL",ROUNDUP(26*AE134,0),ROUNDUP(52*AE134,0)))*$H134</f>
        <v>0</v>
      </c>
      <c r="AX134" s="77">
        <f t="shared" ref="AX134:AX171" si="198">IF(AND(Q134&lt;20220401,A134&lt;&gt;"SP"),($AX$3*(AO134+BE134)),0)</f>
        <v>0</v>
      </c>
      <c r="AY134" s="77">
        <f t="shared" ref="AY134:AY171" si="199">IF(AND($L134="N",$Q134&lt;20220401,$A134&lt;&gt;"SP",$AO134&lt;100000),($AY$3*($AO134+$BE134)),0)</f>
        <v>0</v>
      </c>
      <c r="AZ134" s="77">
        <f t="shared" ref="AZ134:AZ171" si="200">IF(AND($L134="N",$Q134&lt;20220401,$A134&lt;&gt;"SP",$AO134&gt;100000),($AZ$3*($AO134+$BE134)),0)</f>
        <v>0</v>
      </c>
      <c r="BA134" s="77">
        <f t="shared" ref="BA134:BA171" si="201">IF(AND($L134="N",$Q134&lt;20220401,$A134&lt;&gt;"SP"),($BA$3*($AO134+$BE134)),0)</f>
        <v>0</v>
      </c>
      <c r="BB134" s="77">
        <f t="shared" ref="BB134:BB171" si="202">IF(AND($L134="Y",$Q134&lt;20220401,$A134&lt;&gt;"SP"),($BB$3*($AO134+$BE134)),0)</f>
        <v>0</v>
      </c>
      <c r="BC134" s="77">
        <f t="shared" si="186"/>
        <v>0</v>
      </c>
      <c r="BD134" s="77">
        <f>IF($S134&gt;=12,IF(($S134*5)&gt;1200,1200,$S134*5),0)*$H134</f>
        <v>1200</v>
      </c>
      <c r="BE134" s="77">
        <f t="shared" ref="BE134:BE146" si="203">ROUNDUP(((V134*1.5*5*30)*W134)+((X134*1.5*5*30)*Y134),-1)</f>
        <v>9830</v>
      </c>
      <c r="BF134" s="77">
        <f t="shared" ref="BF134:BF171" si="204">$AM134*$BF$3*12*$H134</f>
        <v>180</v>
      </c>
      <c r="BG134" s="77">
        <f>VLOOKUP($AJ134,BENE!$I$2:$N$9,6,FALSE)*'Position Control'!$H134</f>
        <v>154</v>
      </c>
      <c r="BH134" s="77">
        <f>VLOOKUP($AK134,BENE!$A$2:$F$19,6,FALSE)*'Position Control'!$H134</f>
        <v>0</v>
      </c>
      <c r="BI134" s="77">
        <f>VLOOKUP($AK134,BENE!$A$2:$G$19,7,FALSE)*'Position Control'!$H134</f>
        <v>0</v>
      </c>
      <c r="BJ134" s="77">
        <f>VLOOKUP($AL134,BENE!$P$2:$S$6,4,FALSE)*'Position Control'!$H134</f>
        <v>240</v>
      </c>
      <c r="BK134" s="77">
        <f>IF($F134&gt;HRS!$H$2,ROUNDUP(((($AN134+$BE134)*$BK$3)/12*9)+(($AN134+$BE134)*HRS!$B$10/12*3),0),0)*$H134</f>
        <v>22120</v>
      </c>
      <c r="BL134" s="80">
        <f t="shared" ref="BL134:BL171" si="205">ROUNDUP($AN134*$AA134,0)*$H134</f>
        <v>1511</v>
      </c>
      <c r="BM134" s="77">
        <f t="shared" ref="BM134:BM171" si="206">ROUNDUP(IF($AN134&gt;9000,$BM$3*9000,$BM$3*$AN134),0)*$H134</f>
        <v>144</v>
      </c>
      <c r="BN134" s="77">
        <f t="shared" ref="BN134:BN171" si="207">IF($AB134="Y",ROUNDUP($AN134*$BN$3,0),0)*$H134</f>
        <v>1760</v>
      </c>
      <c r="BO134" s="77">
        <f t="shared" ref="BO134:BO171" si="208">IF($A134&lt;&gt;"SP",ROUND($BO$3*$AN134,0)*$H134,0)</f>
        <v>218</v>
      </c>
      <c r="BP134" s="77">
        <f t="shared" ref="BP134:BP171" si="209">IF($T134&gt;24,2000,IF($T134&gt;19,1750,IF($T134&gt;14,1500,IF($T134&gt;9.9999999999999,1000,0))))*$H134</f>
        <v>2000</v>
      </c>
      <c r="BQ134" s="77">
        <v>0</v>
      </c>
      <c r="BR134" s="80">
        <f t="shared" ref="BR134:BR146" si="210">SUM(AO134:AW134)+SUM(BC134:BQ134)</f>
        <v>160720</v>
      </c>
    </row>
    <row r="135" spans="1:70" outlineLevel="1" x14ac:dyDescent="0.35">
      <c r="A135" s="1" t="s">
        <v>6</v>
      </c>
      <c r="B135" s="1" t="s">
        <v>156</v>
      </c>
      <c r="C135" s="1" t="s">
        <v>8</v>
      </c>
      <c r="D135" s="1" t="s">
        <v>140</v>
      </c>
      <c r="E135" s="1" t="s">
        <v>89</v>
      </c>
      <c r="F135" s="2">
        <v>1</v>
      </c>
      <c r="G135" s="66">
        <v>1</v>
      </c>
      <c r="H135" s="66">
        <v>1</v>
      </c>
      <c r="I135" s="1" t="s">
        <v>611</v>
      </c>
      <c r="J135" s="1" t="s">
        <v>612</v>
      </c>
      <c r="K135" s="1" t="s">
        <v>167</v>
      </c>
      <c r="L135" s="76" t="str">
        <f>IF(M135="","N",STEP!$J$22)</f>
        <v>Y</v>
      </c>
      <c r="M135" s="1" t="s">
        <v>168</v>
      </c>
      <c r="N135" s="1" t="s">
        <v>169</v>
      </c>
      <c r="O135" s="1">
        <v>4</v>
      </c>
      <c r="P135" s="1">
        <v>4</v>
      </c>
      <c r="Q135" s="185">
        <v>19910228</v>
      </c>
      <c r="R135" s="196">
        <v>33297</v>
      </c>
      <c r="S135" s="197">
        <f t="shared" si="188"/>
        <v>379</v>
      </c>
      <c r="T135" s="66">
        <f t="shared" si="189"/>
        <v>32</v>
      </c>
      <c r="U135" s="65">
        <v>20211007</v>
      </c>
      <c r="V135" s="70">
        <v>43.685899999999997</v>
      </c>
      <c r="W135" s="74">
        <f t="shared" si="161"/>
        <v>6.0000000000004494E-4</v>
      </c>
      <c r="X135" s="70" cm="1">
        <f t="array" ref="X135">IF(U135="","",INDEX(STEP!$C:$C,MATCH('Position Control'!M135&amp;'Position Control'!P135,STEP!$A:$A&amp;STEP!$B:$B,0)))</f>
        <v>43.685899999999997</v>
      </c>
      <c r="Y135" s="74">
        <f t="shared" si="190"/>
        <v>0.99939999999999996</v>
      </c>
      <c r="Z135" s="1">
        <v>7704</v>
      </c>
      <c r="AA135" s="112">
        <f>VLOOKUP(Z135,'WRK COMP'!$A$1:$E$17,5,FALSE)</f>
        <v>1.2449999999999999E-2</v>
      </c>
      <c r="AB135" s="76" t="s">
        <v>13</v>
      </c>
      <c r="AC135" s="68">
        <v>0</v>
      </c>
      <c r="AD135" s="209">
        <v>12.5</v>
      </c>
      <c r="AE135" s="209">
        <v>0</v>
      </c>
      <c r="AF135" s="209">
        <v>0</v>
      </c>
      <c r="AG135" s="209">
        <v>50</v>
      </c>
      <c r="AH135" s="68">
        <v>0</v>
      </c>
      <c r="AI135" s="68">
        <v>0</v>
      </c>
      <c r="AJ135" s="10" t="s">
        <v>18</v>
      </c>
      <c r="AK135" s="10" t="s">
        <v>78</v>
      </c>
      <c r="AL135" s="10" t="s">
        <v>49</v>
      </c>
      <c r="AM135" s="78">
        <f>IF(F135&gt;0.79,IF(ROUNDUP(IF(B135="FS",(V135*HRS!$B$9),(V135*HRS!$L$2))*2,-3)&gt;150000,150000,(ROUNDUP(IF(B135="FS",(V135*HRS!$B$9),(V135*HRS!$L$2))*2,-3))),0)</f>
        <v>150000</v>
      </c>
      <c r="AN135" s="188">
        <f t="shared" si="191"/>
        <v>120763</v>
      </c>
      <c r="AO135" s="77">
        <f>IF(L135="N",IF(B135="FS",ROUNDUP($V135*HRS!$B$9*'Position Control'!F135,0),ROUNDUP('Position Control'!$V135*HRS!$L$2*'Position Control'!F135,0)),IF('Position Control'!B135="FS",ROUNDUP(('Position Control'!V135*HRS!$B$9*'Position Control'!W135*'Position Control'!F135)+('Position Control'!X135*HRS!$B$9*'Position Control'!Y135*'Position Control'!F135),0),ROUNDUP(('Position Control'!V135*HRS!$L$2*'Position Control'!W135*'Position Control'!F135)+('Position Control'!X135*HRS!$L$2*'Position Control'!Y135*'Position Control'!F135),0)))*'Position Control'!H135</f>
        <v>119263</v>
      </c>
      <c r="AP135" s="77">
        <f t="shared" si="192"/>
        <v>0</v>
      </c>
      <c r="AQ135" s="77">
        <f t="shared" si="193"/>
        <v>300</v>
      </c>
      <c r="AR135" s="77">
        <f t="shared" si="194"/>
        <v>1200</v>
      </c>
      <c r="AS135" s="77">
        <v>0</v>
      </c>
      <c r="AT135" s="79">
        <f t="shared" si="195"/>
        <v>0</v>
      </c>
      <c r="AU135" s="77">
        <f t="shared" si="196"/>
        <v>0</v>
      </c>
      <c r="AV135" s="77">
        <v>0</v>
      </c>
      <c r="AW135" s="77">
        <f t="shared" si="197"/>
        <v>0</v>
      </c>
      <c r="AX135" s="77">
        <f t="shared" si="198"/>
        <v>0</v>
      </c>
      <c r="AY135" s="77">
        <f t="shared" si="199"/>
        <v>0</v>
      </c>
      <c r="AZ135" s="77">
        <f t="shared" si="200"/>
        <v>0</v>
      </c>
      <c r="BA135" s="77">
        <f t="shared" si="201"/>
        <v>0</v>
      </c>
      <c r="BB135" s="77">
        <f t="shared" si="202"/>
        <v>0</v>
      </c>
      <c r="BC135" s="77">
        <f t="shared" si="186"/>
        <v>0</v>
      </c>
      <c r="BD135" s="77">
        <f t="shared" ref="BD135:BD142" si="211">IF($S135&gt;=12,IF(($S135*5)&gt;1200,1200,$S135*5),0)*$H135</f>
        <v>1200</v>
      </c>
      <c r="BE135" s="77">
        <f t="shared" si="203"/>
        <v>9830</v>
      </c>
      <c r="BF135" s="77">
        <f t="shared" si="204"/>
        <v>180</v>
      </c>
      <c r="BG135" s="77">
        <f>VLOOKUP($AJ135,BENE!$I$2:$N$9,6,FALSE)*'Position Control'!$H135</f>
        <v>760</v>
      </c>
      <c r="BH135" s="77">
        <f>VLOOKUP($AK135,BENE!$A$2:$F$19,6,FALSE)*'Position Control'!$H135</f>
        <v>18024</v>
      </c>
      <c r="BI135" s="77">
        <f>VLOOKUP($AK135,BENE!$A$2:$G$19,7,FALSE)*'Position Control'!$H135</f>
        <v>0</v>
      </c>
      <c r="BJ135" s="77">
        <f>VLOOKUP($AL135,BENE!$P$2:$S$6,4,FALSE)*'Position Control'!$H135</f>
        <v>0</v>
      </c>
      <c r="BK135" s="77">
        <f>IF($F135&gt;HRS!$H$2,ROUNDUP(((($AN135+$BE135)*$BK$3)/12*9)+(($AN135+$BE135)*HRS!$B$10/12*3),0),0)*$H135</f>
        <v>22018</v>
      </c>
      <c r="BL135" s="80">
        <f t="shared" si="205"/>
        <v>1504</v>
      </c>
      <c r="BM135" s="77">
        <f t="shared" si="206"/>
        <v>144</v>
      </c>
      <c r="BN135" s="77">
        <f t="shared" si="207"/>
        <v>1752</v>
      </c>
      <c r="BO135" s="77">
        <f t="shared" si="208"/>
        <v>217</v>
      </c>
      <c r="BP135" s="77">
        <f t="shared" si="209"/>
        <v>2000</v>
      </c>
      <c r="BQ135" s="77">
        <v>0</v>
      </c>
      <c r="BR135" s="80">
        <f t="shared" si="210"/>
        <v>178392</v>
      </c>
    </row>
    <row r="136" spans="1:70" outlineLevel="1" x14ac:dyDescent="0.35">
      <c r="A136" s="1" t="s">
        <v>6</v>
      </c>
      <c r="B136" s="1" t="s">
        <v>156</v>
      </c>
      <c r="C136" s="1" t="s">
        <v>8</v>
      </c>
      <c r="D136" s="1" t="s">
        <v>140</v>
      </c>
      <c r="E136" s="1" t="s">
        <v>89</v>
      </c>
      <c r="F136" s="2">
        <v>1</v>
      </c>
      <c r="G136" s="66">
        <v>1</v>
      </c>
      <c r="H136" s="66">
        <v>1</v>
      </c>
      <c r="I136" s="1" t="s">
        <v>611</v>
      </c>
      <c r="J136" s="1" t="s">
        <v>612</v>
      </c>
      <c r="K136" s="1" t="s">
        <v>172</v>
      </c>
      <c r="L136" s="76" t="str">
        <f>IF(M136="","N",STEP!$J$22)</f>
        <v>Y</v>
      </c>
      <c r="M136" s="1" t="s">
        <v>168</v>
      </c>
      <c r="N136" s="1" t="s">
        <v>169</v>
      </c>
      <c r="O136" s="1">
        <v>4</v>
      </c>
      <c r="P136" s="1">
        <v>4</v>
      </c>
      <c r="Q136" s="185">
        <v>19991014</v>
      </c>
      <c r="R136" s="196">
        <v>36447</v>
      </c>
      <c r="S136" s="197">
        <f t="shared" si="188"/>
        <v>275</v>
      </c>
      <c r="T136" s="66">
        <f t="shared" si="189"/>
        <v>23</v>
      </c>
      <c r="U136" s="65">
        <v>20220321</v>
      </c>
      <c r="V136" s="70">
        <v>43.685899999999997</v>
      </c>
      <c r="W136" s="74">
        <f t="shared" si="161"/>
        <v>0.93199999999999994</v>
      </c>
      <c r="X136" s="70" cm="1">
        <f t="array" ref="X136">IF(U136="","",INDEX(STEP!$C:$C,MATCH('Position Control'!M136&amp;'Position Control'!P136,STEP!$A:$A&amp;STEP!$B:$B,0)))</f>
        <v>43.685899999999997</v>
      </c>
      <c r="Y136" s="74">
        <f t="shared" si="190"/>
        <v>6.8000000000000005E-2</v>
      </c>
      <c r="Z136" s="1">
        <v>7704</v>
      </c>
      <c r="AA136" s="112">
        <f>VLOOKUP(Z136,'WRK COMP'!$A$1:$E$17,5,FALSE)</f>
        <v>1.2449999999999999E-2</v>
      </c>
      <c r="AB136" s="76" t="s">
        <v>13</v>
      </c>
      <c r="AC136" s="68">
        <v>0</v>
      </c>
      <c r="AD136" s="209">
        <v>200</v>
      </c>
      <c r="AE136" s="209">
        <v>0</v>
      </c>
      <c r="AF136" s="209">
        <v>0</v>
      </c>
      <c r="AG136" s="209">
        <v>50</v>
      </c>
      <c r="AH136" s="68">
        <v>0</v>
      </c>
      <c r="AI136" s="68">
        <v>0</v>
      </c>
      <c r="AJ136" s="10" t="s">
        <v>14</v>
      </c>
      <c r="AK136" s="10" t="s">
        <v>15</v>
      </c>
      <c r="AL136" s="10" t="s">
        <v>16</v>
      </c>
      <c r="AM136" s="78">
        <f>IF(F136&gt;0.79,IF(ROUNDUP(IF(B136="FS",(V136*HRS!$B$9),(V136*HRS!$L$2))*2,-3)&gt;150000,150000,(ROUNDUP(IF(B136="FS",(V136*HRS!$B$9),(V136*HRS!$L$2))*2,-3))),0)</f>
        <v>150000</v>
      </c>
      <c r="AN136" s="188">
        <f t="shared" si="191"/>
        <v>125263</v>
      </c>
      <c r="AO136" s="77">
        <f>IF(L136="N",IF(B136="FS",ROUNDUP($V136*HRS!$B$9*'Position Control'!F136,0),ROUNDUP('Position Control'!$V136*HRS!$L$2*'Position Control'!F136,0)),IF('Position Control'!B136="FS",ROUNDUP(('Position Control'!V136*HRS!$B$9*'Position Control'!W136*'Position Control'!F136)+('Position Control'!X136*HRS!$B$9*'Position Control'!Y136*'Position Control'!F136),0),ROUNDUP(('Position Control'!V136*HRS!$L$2*'Position Control'!W136*'Position Control'!F136)+('Position Control'!X136*HRS!$L$2*'Position Control'!Y136*'Position Control'!F136),0)))*'Position Control'!H136</f>
        <v>119263</v>
      </c>
      <c r="AP136" s="77">
        <f t="shared" si="192"/>
        <v>0</v>
      </c>
      <c r="AQ136" s="77">
        <f t="shared" si="193"/>
        <v>4800</v>
      </c>
      <c r="AR136" s="77">
        <f t="shared" si="194"/>
        <v>1200</v>
      </c>
      <c r="AS136" s="77">
        <v>0</v>
      </c>
      <c r="AT136" s="79">
        <f t="shared" si="195"/>
        <v>0</v>
      </c>
      <c r="AU136" s="77">
        <f t="shared" si="196"/>
        <v>0</v>
      </c>
      <c r="AV136" s="77">
        <v>0</v>
      </c>
      <c r="AW136" s="77">
        <f t="shared" si="197"/>
        <v>0</v>
      </c>
      <c r="AX136" s="77">
        <f t="shared" si="198"/>
        <v>0</v>
      </c>
      <c r="AY136" s="77">
        <f t="shared" si="199"/>
        <v>0</v>
      </c>
      <c r="AZ136" s="77">
        <f t="shared" si="200"/>
        <v>0</v>
      </c>
      <c r="BA136" s="77">
        <f t="shared" si="201"/>
        <v>0</v>
      </c>
      <c r="BB136" s="77">
        <f t="shared" si="202"/>
        <v>0</v>
      </c>
      <c r="BC136" s="77">
        <f t="shared" si="186"/>
        <v>0</v>
      </c>
      <c r="BD136" s="77">
        <f t="shared" si="211"/>
        <v>1200</v>
      </c>
      <c r="BE136" s="77">
        <f t="shared" si="203"/>
        <v>9830</v>
      </c>
      <c r="BF136" s="77">
        <f t="shared" si="204"/>
        <v>180</v>
      </c>
      <c r="BG136" s="77">
        <f>VLOOKUP($AJ136,BENE!$I$2:$N$9,6,FALSE)*'Position Control'!$H136</f>
        <v>389</v>
      </c>
      <c r="BH136" s="77">
        <f>VLOOKUP($AK136,BENE!$A$2:$F$19,6,FALSE)*'Position Control'!$H136</f>
        <v>6142</v>
      </c>
      <c r="BI136" s="77">
        <f>VLOOKUP($AK136,BENE!$A$2:$G$19,7,FALSE)*'Position Control'!$H136</f>
        <v>1000</v>
      </c>
      <c r="BJ136" s="77">
        <f>VLOOKUP($AL136,BENE!$P$2:$S$6,4,FALSE)*'Position Control'!$H136</f>
        <v>240</v>
      </c>
      <c r="BK136" s="77">
        <f>IF($F136&gt;HRS!$H$2,ROUNDUP(((($AN136+$BE136)*$BK$3)/12*9)+(($AN136+$BE136)*HRS!$B$10/12*3),0),0)*$H136</f>
        <v>22777</v>
      </c>
      <c r="BL136" s="80">
        <f t="shared" si="205"/>
        <v>1560</v>
      </c>
      <c r="BM136" s="77">
        <f t="shared" si="206"/>
        <v>144</v>
      </c>
      <c r="BN136" s="77">
        <f t="shared" si="207"/>
        <v>1817</v>
      </c>
      <c r="BO136" s="77">
        <f t="shared" si="208"/>
        <v>225</v>
      </c>
      <c r="BP136" s="77">
        <f t="shared" si="209"/>
        <v>1750</v>
      </c>
      <c r="BQ136" s="77">
        <v>0</v>
      </c>
      <c r="BR136" s="80">
        <f t="shared" si="210"/>
        <v>172517</v>
      </c>
    </row>
    <row r="137" spans="1:70" outlineLevel="1" x14ac:dyDescent="0.35">
      <c r="A137" s="1" t="s">
        <v>6</v>
      </c>
      <c r="B137" s="1" t="s">
        <v>156</v>
      </c>
      <c r="C137" s="1" t="s">
        <v>8</v>
      </c>
      <c r="D137" s="1" t="s">
        <v>140</v>
      </c>
      <c r="E137" s="1" t="s">
        <v>89</v>
      </c>
      <c r="F137" s="2">
        <v>1</v>
      </c>
      <c r="G137" s="66">
        <v>1</v>
      </c>
      <c r="H137" s="66">
        <v>1</v>
      </c>
      <c r="I137" s="1" t="s">
        <v>611</v>
      </c>
      <c r="J137" s="1" t="s">
        <v>612</v>
      </c>
      <c r="K137" s="10" t="s">
        <v>192</v>
      </c>
      <c r="L137" s="76" t="str">
        <f>IF(M137="","N",STEP!$J$22)</f>
        <v>Y</v>
      </c>
      <c r="M137" s="1" t="s">
        <v>165</v>
      </c>
      <c r="N137" s="1" t="s">
        <v>166</v>
      </c>
      <c r="O137" s="1">
        <v>1</v>
      </c>
      <c r="P137" s="1">
        <v>2</v>
      </c>
      <c r="Q137" s="185">
        <v>20070923</v>
      </c>
      <c r="R137" s="196">
        <v>39348</v>
      </c>
      <c r="S137" s="197">
        <f t="shared" si="188"/>
        <v>180</v>
      </c>
      <c r="T137" s="66">
        <f t="shared" si="189"/>
        <v>16</v>
      </c>
      <c r="U137" s="65">
        <v>20220626</v>
      </c>
      <c r="V137" s="70">
        <v>32.223399999999998</v>
      </c>
      <c r="W137" s="74">
        <f t="shared" ref="W137" si="212">IF(U137="","",(1-Y137))</f>
        <v>0.96250000000000002</v>
      </c>
      <c r="X137" s="70" cm="1">
        <f t="array" ref="X137">IF(U137="","",INDEX(STEP!$C:$C,MATCH('Position Control'!M137&amp;'Position Control'!P137,STEP!$A:$A&amp;STEP!$B:$B,0)))</f>
        <v>34.849499999999999</v>
      </c>
      <c r="Y137" s="74">
        <f t="shared" si="190"/>
        <v>3.7499999999999999E-2</v>
      </c>
      <c r="Z137" s="1">
        <v>7704</v>
      </c>
      <c r="AA137" s="112">
        <f>VLOOKUP(Z137,'WRK COMP'!$A$1:$E$17,5,FALSE)</f>
        <v>1.2449999999999999E-2</v>
      </c>
      <c r="AB137" s="76" t="s">
        <v>13</v>
      </c>
      <c r="AC137" s="68">
        <v>0</v>
      </c>
      <c r="AD137" s="209">
        <v>137.5</v>
      </c>
      <c r="AE137" s="209">
        <v>0</v>
      </c>
      <c r="AF137" s="209">
        <v>0</v>
      </c>
      <c r="AG137" s="209">
        <v>50</v>
      </c>
      <c r="AH137" s="68">
        <v>0</v>
      </c>
      <c r="AI137" s="68">
        <v>0</v>
      </c>
      <c r="AJ137" s="10" t="s">
        <v>14</v>
      </c>
      <c r="AK137" s="10" t="s">
        <v>15</v>
      </c>
      <c r="AL137" s="10" t="s">
        <v>16</v>
      </c>
      <c r="AM137" s="78">
        <f>IF(F137&gt;0.79,IF(ROUNDUP(IF(B137="FS",(V137*HRS!$B$9),(V137*HRS!$L$2))*2,-3)&gt;150000,150000,(ROUNDUP(IF(B137="FS",(V137*HRS!$B$9),(V137*HRS!$L$2))*2,-3))),0)</f>
        <v>150000</v>
      </c>
      <c r="AN137" s="188">
        <f t="shared" si="191"/>
        <v>92739</v>
      </c>
      <c r="AO137" s="77">
        <f>IF(L137="N",IF(B137="FS",ROUNDUP($V137*HRS!$B$9*'Position Control'!F137,0),ROUNDUP('Position Control'!$V137*HRS!$L$2*'Position Control'!F137,0)),IF('Position Control'!B137="FS",ROUNDUP(('Position Control'!V137*HRS!$B$9*'Position Control'!W137*'Position Control'!F137)+('Position Control'!X137*HRS!$B$9*'Position Control'!Y137*'Position Control'!F137),0),ROUNDUP(('Position Control'!V137*HRS!$L$2*'Position Control'!W137*'Position Control'!F137)+('Position Control'!X137*HRS!$L$2*'Position Control'!Y137*'Position Control'!F137),0)))*'Position Control'!H137</f>
        <v>88239</v>
      </c>
      <c r="AP137" s="77">
        <f t="shared" si="192"/>
        <v>0</v>
      </c>
      <c r="AQ137" s="77">
        <f t="shared" si="193"/>
        <v>3300</v>
      </c>
      <c r="AR137" s="77">
        <f t="shared" si="194"/>
        <v>1200</v>
      </c>
      <c r="AS137" s="77">
        <v>0</v>
      </c>
      <c r="AT137" s="79">
        <f t="shared" si="195"/>
        <v>0</v>
      </c>
      <c r="AU137" s="77">
        <f t="shared" si="196"/>
        <v>0</v>
      </c>
      <c r="AV137" s="77">
        <v>0</v>
      </c>
      <c r="AW137" s="77">
        <f t="shared" si="197"/>
        <v>0</v>
      </c>
      <c r="AX137" s="77">
        <f t="shared" si="198"/>
        <v>0</v>
      </c>
      <c r="AY137" s="77">
        <f t="shared" si="199"/>
        <v>0</v>
      </c>
      <c r="AZ137" s="77">
        <f t="shared" si="200"/>
        <v>0</v>
      </c>
      <c r="BA137" s="77">
        <f t="shared" si="201"/>
        <v>0</v>
      </c>
      <c r="BB137" s="77">
        <f t="shared" si="202"/>
        <v>0</v>
      </c>
      <c r="BC137" s="77">
        <f t="shared" ref="BC137" si="213">SUM(AX137:BB137)</f>
        <v>0</v>
      </c>
      <c r="BD137" s="77">
        <f t="shared" si="211"/>
        <v>900</v>
      </c>
      <c r="BE137" s="77">
        <f t="shared" si="203"/>
        <v>7280</v>
      </c>
      <c r="BF137" s="77">
        <f t="shared" si="204"/>
        <v>180</v>
      </c>
      <c r="BG137" s="77">
        <f>VLOOKUP($AJ137,BENE!$I$2:$N$9,6,FALSE)*'Position Control'!$H137</f>
        <v>389</v>
      </c>
      <c r="BH137" s="77">
        <f>VLOOKUP($AK137,BENE!$A$2:$F$19,6,FALSE)*'Position Control'!$H137</f>
        <v>6142</v>
      </c>
      <c r="BI137" s="77">
        <f>VLOOKUP($AK137,BENE!$A$2:$G$19,7,FALSE)*'Position Control'!$H137</f>
        <v>1000</v>
      </c>
      <c r="BJ137" s="77">
        <f>VLOOKUP($AL137,BENE!$P$2:$S$6,4,FALSE)*'Position Control'!$H137</f>
        <v>240</v>
      </c>
      <c r="BK137" s="77">
        <f>IF($F137&gt;HRS!$H$2,ROUNDUP(((($AN137+$BE137)*$BK$3)/12*9)+(($AN137+$BE137)*HRS!$B$10/12*3),0),0)*$H137</f>
        <v>16864</v>
      </c>
      <c r="BL137" s="80">
        <f t="shared" si="205"/>
        <v>1155</v>
      </c>
      <c r="BM137" s="77">
        <f t="shared" si="206"/>
        <v>144</v>
      </c>
      <c r="BN137" s="77">
        <f t="shared" si="207"/>
        <v>1345</v>
      </c>
      <c r="BO137" s="77">
        <f t="shared" si="208"/>
        <v>167</v>
      </c>
      <c r="BP137" s="77">
        <f t="shared" si="209"/>
        <v>1500</v>
      </c>
      <c r="BQ137" s="77">
        <v>0</v>
      </c>
      <c r="BR137" s="80">
        <f t="shared" si="210"/>
        <v>130045</v>
      </c>
    </row>
    <row r="138" spans="1:70" outlineLevel="1" x14ac:dyDescent="0.35">
      <c r="A138" s="1" t="s">
        <v>6</v>
      </c>
      <c r="B138" s="1" t="s">
        <v>156</v>
      </c>
      <c r="C138" s="1" t="s">
        <v>8</v>
      </c>
      <c r="D138" s="1" t="s">
        <v>140</v>
      </c>
      <c r="E138" s="1" t="s">
        <v>89</v>
      </c>
      <c r="F138" s="2">
        <v>1</v>
      </c>
      <c r="G138" s="66">
        <v>1</v>
      </c>
      <c r="H138" s="66">
        <v>1</v>
      </c>
      <c r="I138" s="1" t="s">
        <v>611</v>
      </c>
      <c r="J138" s="1" t="s">
        <v>612</v>
      </c>
      <c r="K138" s="1" t="s">
        <v>199</v>
      </c>
      <c r="L138" s="76" t="str">
        <f>IF(M138="","N",STEP!$J$22)</f>
        <v>Y</v>
      </c>
      <c r="M138" s="1" t="s">
        <v>165</v>
      </c>
      <c r="N138" s="1" t="s">
        <v>166</v>
      </c>
      <c r="O138" s="1">
        <v>5</v>
      </c>
      <c r="P138" s="1">
        <v>5</v>
      </c>
      <c r="Q138" s="185">
        <v>19960627</v>
      </c>
      <c r="R138" s="196">
        <v>35243</v>
      </c>
      <c r="S138" s="197">
        <f t="shared" si="188"/>
        <v>315</v>
      </c>
      <c r="T138" s="66">
        <f t="shared" si="189"/>
        <v>27</v>
      </c>
      <c r="U138" s="65">
        <v>20211007</v>
      </c>
      <c r="V138" s="70">
        <v>38.081000000000003</v>
      </c>
      <c r="W138" s="74">
        <f t="shared" si="161"/>
        <v>6.0000000000004494E-4</v>
      </c>
      <c r="X138" s="70" cm="1">
        <f t="array" ref="X138">IF(U138="","",INDEX(STEP!$C:$C,MATCH('Position Control'!M138&amp;'Position Control'!P138,STEP!$A:$A&amp;STEP!$B:$B,0)))</f>
        <v>38.081000000000003</v>
      </c>
      <c r="Y138" s="74">
        <f t="shared" si="190"/>
        <v>0.99939999999999996</v>
      </c>
      <c r="Z138" s="1">
        <v>7704</v>
      </c>
      <c r="AA138" s="112">
        <f>VLOOKUP(Z138,'WRK COMP'!$A$1:$E$17,5,FALSE)</f>
        <v>1.2449999999999999E-2</v>
      </c>
      <c r="AB138" s="76" t="s">
        <v>13</v>
      </c>
      <c r="AC138" s="68">
        <v>0</v>
      </c>
      <c r="AD138" s="209">
        <v>87.5</v>
      </c>
      <c r="AE138" s="209">
        <v>0</v>
      </c>
      <c r="AF138" s="209">
        <v>0</v>
      </c>
      <c r="AG138" s="209">
        <v>50</v>
      </c>
      <c r="AH138" s="68">
        <v>0</v>
      </c>
      <c r="AI138" s="68">
        <v>0</v>
      </c>
      <c r="AJ138" s="10" t="s">
        <v>25</v>
      </c>
      <c r="AK138" s="10" t="s">
        <v>78</v>
      </c>
      <c r="AL138" s="10" t="s">
        <v>49</v>
      </c>
      <c r="AM138" s="78">
        <f>IF(F138&gt;0.79,IF(ROUNDUP(IF(B138="FS",(V138*HRS!$B$9),(V138*HRS!$L$2))*2,-3)&gt;150000,150000,(ROUNDUP(IF(B138="FS",(V138*HRS!$B$9),(V138*HRS!$L$2))*2,-3))),0)</f>
        <v>150000</v>
      </c>
      <c r="AN138" s="188">
        <f t="shared" si="191"/>
        <v>107262</v>
      </c>
      <c r="AO138" s="77">
        <f>IF(L138="N",IF(B138="FS",ROUNDUP($V138*HRS!$B$9*'Position Control'!F138,0),ROUNDUP('Position Control'!$V138*HRS!$L$2*'Position Control'!F138,0)),IF('Position Control'!B138="FS",ROUNDUP(('Position Control'!V138*HRS!$B$9*'Position Control'!W138*'Position Control'!F138)+('Position Control'!X138*HRS!$B$9*'Position Control'!Y138*'Position Control'!F138),0),ROUNDUP(('Position Control'!V138*HRS!$L$2*'Position Control'!W138*'Position Control'!F138)+('Position Control'!X138*HRS!$L$2*'Position Control'!Y138*'Position Control'!F138),0)))*'Position Control'!H138</f>
        <v>103962</v>
      </c>
      <c r="AP138" s="77">
        <f t="shared" si="192"/>
        <v>0</v>
      </c>
      <c r="AQ138" s="77">
        <f t="shared" si="193"/>
        <v>2100</v>
      </c>
      <c r="AR138" s="77">
        <f t="shared" si="194"/>
        <v>1200</v>
      </c>
      <c r="AS138" s="77">
        <v>0</v>
      </c>
      <c r="AT138" s="79">
        <f t="shared" si="195"/>
        <v>0</v>
      </c>
      <c r="AU138" s="77">
        <f t="shared" si="196"/>
        <v>0</v>
      </c>
      <c r="AV138" s="77">
        <v>0</v>
      </c>
      <c r="AW138" s="77">
        <f t="shared" si="197"/>
        <v>0</v>
      </c>
      <c r="AX138" s="77">
        <f t="shared" si="198"/>
        <v>0</v>
      </c>
      <c r="AY138" s="77">
        <f t="shared" si="199"/>
        <v>0</v>
      </c>
      <c r="AZ138" s="77">
        <f t="shared" si="200"/>
        <v>0</v>
      </c>
      <c r="BA138" s="77">
        <f t="shared" si="201"/>
        <v>0</v>
      </c>
      <c r="BB138" s="77">
        <f t="shared" si="202"/>
        <v>0</v>
      </c>
      <c r="BC138" s="77">
        <f t="shared" si="186"/>
        <v>0</v>
      </c>
      <c r="BD138" s="77">
        <f t="shared" si="211"/>
        <v>1200</v>
      </c>
      <c r="BE138" s="77">
        <f t="shared" si="203"/>
        <v>8570</v>
      </c>
      <c r="BF138" s="77">
        <f t="shared" si="204"/>
        <v>180</v>
      </c>
      <c r="BG138" s="77">
        <f>VLOOKUP($AJ138,BENE!$I$2:$N$9,6,FALSE)*'Position Control'!$H138</f>
        <v>414</v>
      </c>
      <c r="BH138" s="77">
        <f>VLOOKUP($AK138,BENE!$A$2:$F$19,6,FALSE)*'Position Control'!$H138</f>
        <v>18024</v>
      </c>
      <c r="BI138" s="77">
        <f>VLOOKUP($AK138,BENE!$A$2:$G$19,7,FALSE)*'Position Control'!$H138</f>
        <v>0</v>
      </c>
      <c r="BJ138" s="77">
        <f>VLOOKUP($AL138,BENE!$P$2:$S$6,4,FALSE)*'Position Control'!$H138</f>
        <v>0</v>
      </c>
      <c r="BK138" s="77">
        <f>IF($F138&gt;HRS!$H$2,ROUNDUP(((($AN138+$BE138)*$BK$3)/12*9)+(($AN138+$BE138)*HRS!$B$10/12*3),0),0)*$H138</f>
        <v>19530</v>
      </c>
      <c r="BL138" s="80">
        <f t="shared" si="205"/>
        <v>1336</v>
      </c>
      <c r="BM138" s="77">
        <f t="shared" si="206"/>
        <v>144</v>
      </c>
      <c r="BN138" s="77">
        <f t="shared" si="207"/>
        <v>1556</v>
      </c>
      <c r="BO138" s="77">
        <f t="shared" si="208"/>
        <v>193</v>
      </c>
      <c r="BP138" s="77">
        <f t="shared" si="209"/>
        <v>2000</v>
      </c>
      <c r="BQ138" s="77">
        <v>0</v>
      </c>
      <c r="BR138" s="80">
        <f t="shared" si="210"/>
        <v>160409</v>
      </c>
    </row>
    <row r="139" spans="1:70" outlineLevel="1" x14ac:dyDescent="0.35">
      <c r="A139" s="1" t="s">
        <v>6</v>
      </c>
      <c r="B139" s="1" t="s">
        <v>156</v>
      </c>
      <c r="C139" s="1" t="s">
        <v>8</v>
      </c>
      <c r="D139" s="1" t="s">
        <v>140</v>
      </c>
      <c r="E139" s="1" t="s">
        <v>89</v>
      </c>
      <c r="F139" s="2">
        <v>1</v>
      </c>
      <c r="G139" s="66">
        <v>1</v>
      </c>
      <c r="H139" s="66">
        <v>1</v>
      </c>
      <c r="I139" s="1" t="s">
        <v>611</v>
      </c>
      <c r="J139" s="1" t="s">
        <v>612</v>
      </c>
      <c r="K139" s="1" t="s">
        <v>200</v>
      </c>
      <c r="L139" s="76" t="str">
        <f>IF(M139="","N",STEP!$J$22)</f>
        <v>Y</v>
      </c>
      <c r="M139" s="1" t="s">
        <v>165</v>
      </c>
      <c r="N139" s="1" t="s">
        <v>166</v>
      </c>
      <c r="O139" s="1">
        <v>5</v>
      </c>
      <c r="P139" s="1">
        <v>5</v>
      </c>
      <c r="Q139" s="185">
        <v>19980820</v>
      </c>
      <c r="R139" s="196">
        <v>36027</v>
      </c>
      <c r="S139" s="197">
        <f t="shared" si="188"/>
        <v>289</v>
      </c>
      <c r="T139" s="66">
        <f t="shared" si="189"/>
        <v>25</v>
      </c>
      <c r="U139" s="65">
        <v>20211007</v>
      </c>
      <c r="V139" s="70">
        <v>38.081000000000003</v>
      </c>
      <c r="W139" s="74">
        <f t="shared" si="161"/>
        <v>6.0000000000004494E-4</v>
      </c>
      <c r="X139" s="70" cm="1">
        <f t="array" ref="X139">IF(U139="","",INDEX(STEP!$C:$C,MATCH('Position Control'!M139&amp;'Position Control'!P139,STEP!$A:$A&amp;STEP!$B:$B,0)))</f>
        <v>38.081000000000003</v>
      </c>
      <c r="Y139" s="74">
        <f t="shared" si="190"/>
        <v>0.99939999999999996</v>
      </c>
      <c r="Z139" s="1">
        <v>7704</v>
      </c>
      <c r="AA139" s="112">
        <f>VLOOKUP(Z139,'WRK COMP'!$A$1:$E$17,5,FALSE)</f>
        <v>1.2449999999999999E-2</v>
      </c>
      <c r="AB139" s="76" t="s">
        <v>13</v>
      </c>
      <c r="AC139" s="68">
        <v>0</v>
      </c>
      <c r="AD139" s="209">
        <v>112.5</v>
      </c>
      <c r="AE139" s="209">
        <v>0</v>
      </c>
      <c r="AF139" s="209">
        <v>0</v>
      </c>
      <c r="AG139" s="209">
        <v>50</v>
      </c>
      <c r="AH139" s="68">
        <v>0</v>
      </c>
      <c r="AI139" s="68">
        <v>0</v>
      </c>
      <c r="AJ139" s="10" t="s">
        <v>14</v>
      </c>
      <c r="AK139" s="10" t="s">
        <v>43</v>
      </c>
      <c r="AL139" s="10" t="s">
        <v>49</v>
      </c>
      <c r="AM139" s="78">
        <f>IF(F139&gt;0.79,IF(ROUNDUP(IF(B139="FS",(V139*HRS!$B$9),(V139*HRS!$L$2))*2,-3)&gt;150000,150000,(ROUNDUP(IF(B139="FS",(V139*HRS!$B$9),(V139*HRS!$L$2))*2,-3))),0)</f>
        <v>150000</v>
      </c>
      <c r="AN139" s="188">
        <f t="shared" si="191"/>
        <v>107862</v>
      </c>
      <c r="AO139" s="77">
        <f>IF(L139="N",IF(B139="FS",ROUNDUP($V139*HRS!$B$9*'Position Control'!F139,0),ROUNDUP('Position Control'!$V139*HRS!$L$2*'Position Control'!F139,0)),IF('Position Control'!B139="FS",ROUNDUP(('Position Control'!V139*HRS!$B$9*'Position Control'!W139*'Position Control'!F139)+('Position Control'!X139*HRS!$B$9*'Position Control'!Y139*'Position Control'!F139),0),ROUNDUP(('Position Control'!V139*HRS!$L$2*'Position Control'!W139*'Position Control'!F139)+('Position Control'!X139*HRS!$L$2*'Position Control'!Y139*'Position Control'!F139),0)))*'Position Control'!H139</f>
        <v>103962</v>
      </c>
      <c r="AP139" s="77">
        <f t="shared" si="192"/>
        <v>0</v>
      </c>
      <c r="AQ139" s="77">
        <f t="shared" si="193"/>
        <v>2700</v>
      </c>
      <c r="AR139" s="77">
        <f t="shared" si="194"/>
        <v>1200</v>
      </c>
      <c r="AS139" s="77">
        <v>0</v>
      </c>
      <c r="AT139" s="79">
        <f t="shared" si="195"/>
        <v>0</v>
      </c>
      <c r="AU139" s="77">
        <f t="shared" si="196"/>
        <v>0</v>
      </c>
      <c r="AV139" s="77">
        <v>0</v>
      </c>
      <c r="AW139" s="77">
        <f t="shared" si="197"/>
        <v>0</v>
      </c>
      <c r="AX139" s="77">
        <f t="shared" si="198"/>
        <v>0</v>
      </c>
      <c r="AY139" s="77">
        <f t="shared" si="199"/>
        <v>0</v>
      </c>
      <c r="AZ139" s="77">
        <f t="shared" si="200"/>
        <v>0</v>
      </c>
      <c r="BA139" s="77">
        <f t="shared" si="201"/>
        <v>0</v>
      </c>
      <c r="BB139" s="77">
        <f t="shared" si="202"/>
        <v>0</v>
      </c>
      <c r="BC139" s="77">
        <f t="shared" si="186"/>
        <v>0</v>
      </c>
      <c r="BD139" s="77">
        <f t="shared" si="211"/>
        <v>1200</v>
      </c>
      <c r="BE139" s="77">
        <f t="shared" si="203"/>
        <v>8570</v>
      </c>
      <c r="BF139" s="77">
        <f t="shared" si="204"/>
        <v>180</v>
      </c>
      <c r="BG139" s="77">
        <f>VLOOKUP($AJ139,BENE!$I$2:$N$9,6,FALSE)*'Position Control'!$H139</f>
        <v>389</v>
      </c>
      <c r="BH139" s="77">
        <f>VLOOKUP($AK139,BENE!$A$2:$F$19,6,FALSE)*'Position Control'!$H139</f>
        <v>6870</v>
      </c>
      <c r="BI139" s="77">
        <f>VLOOKUP($AK139,BENE!$A$2:$G$19,7,FALSE)*'Position Control'!$H139</f>
        <v>0</v>
      </c>
      <c r="BJ139" s="77">
        <f>VLOOKUP($AL139,BENE!$P$2:$S$6,4,FALSE)*'Position Control'!$H139</f>
        <v>0</v>
      </c>
      <c r="BK139" s="77">
        <f>IF($F139&gt;HRS!$H$2,ROUNDUP(((($AN139+$BE139)*$BK$3)/12*9)+(($AN139+$BE139)*HRS!$B$10/12*3),0),0)*$H139</f>
        <v>19631</v>
      </c>
      <c r="BL139" s="80">
        <f t="shared" si="205"/>
        <v>1343</v>
      </c>
      <c r="BM139" s="77">
        <f t="shared" si="206"/>
        <v>144</v>
      </c>
      <c r="BN139" s="77">
        <f t="shared" si="207"/>
        <v>1564</v>
      </c>
      <c r="BO139" s="77">
        <f t="shared" si="208"/>
        <v>194</v>
      </c>
      <c r="BP139" s="77">
        <f t="shared" si="209"/>
        <v>2000</v>
      </c>
      <c r="BQ139" s="77">
        <v>0</v>
      </c>
      <c r="BR139" s="80">
        <f t="shared" si="210"/>
        <v>149947</v>
      </c>
    </row>
    <row r="140" spans="1:70" outlineLevel="1" x14ac:dyDescent="0.35">
      <c r="A140" s="1" t="s">
        <v>6</v>
      </c>
      <c r="B140" s="1" t="s">
        <v>156</v>
      </c>
      <c r="C140" s="1" t="s">
        <v>8</v>
      </c>
      <c r="D140" s="1" t="s">
        <v>140</v>
      </c>
      <c r="E140" s="1" t="s">
        <v>89</v>
      </c>
      <c r="F140" s="2">
        <v>1</v>
      </c>
      <c r="G140" s="66">
        <v>1</v>
      </c>
      <c r="H140" s="66">
        <v>1</v>
      </c>
      <c r="I140" s="1" t="s">
        <v>611</v>
      </c>
      <c r="J140" s="1" t="s">
        <v>612</v>
      </c>
      <c r="K140" s="1" t="s">
        <v>174</v>
      </c>
      <c r="L140" s="76" t="str">
        <f>IF(M140="","N",STEP!$J$22)</f>
        <v>Y</v>
      </c>
      <c r="M140" s="1" t="s">
        <v>163</v>
      </c>
      <c r="N140" s="1" t="s">
        <v>164</v>
      </c>
      <c r="O140" s="1">
        <v>5</v>
      </c>
      <c r="P140" s="1">
        <v>5</v>
      </c>
      <c r="Q140" s="185">
        <v>19941103</v>
      </c>
      <c r="R140" s="196">
        <v>34641</v>
      </c>
      <c r="S140" s="197">
        <f t="shared" si="188"/>
        <v>334</v>
      </c>
      <c r="T140" s="66">
        <f t="shared" si="189"/>
        <v>28</v>
      </c>
      <c r="U140" s="65">
        <v>20211007</v>
      </c>
      <c r="V140" s="70">
        <v>32.223399999999998</v>
      </c>
      <c r="W140" s="74">
        <f t="shared" si="161"/>
        <v>6.0000000000004494E-4</v>
      </c>
      <c r="X140" s="70" cm="1">
        <f t="array" ref="X140">IF(U140="","",INDEX(STEP!$C:$C,MATCH('Position Control'!M140&amp;'Position Control'!P140,STEP!$A:$A&amp;STEP!$B:$B,0)))</f>
        <v>32.223399999999998</v>
      </c>
      <c r="Y140" s="74">
        <f t="shared" si="190"/>
        <v>0.99939999999999996</v>
      </c>
      <c r="Z140" s="1">
        <v>7704</v>
      </c>
      <c r="AA140" s="112">
        <f>VLOOKUP(Z140,'WRK COMP'!$A$1:$E$17,5,FALSE)</f>
        <v>1.2449999999999999E-2</v>
      </c>
      <c r="AB140" s="76" t="s">
        <v>13</v>
      </c>
      <c r="AC140" s="68">
        <v>0</v>
      </c>
      <c r="AD140" s="209">
        <v>37.5</v>
      </c>
      <c r="AE140" s="209">
        <v>0</v>
      </c>
      <c r="AF140" s="209">
        <v>0</v>
      </c>
      <c r="AG140" s="209">
        <v>50</v>
      </c>
      <c r="AH140" s="68">
        <v>0</v>
      </c>
      <c r="AI140" s="68">
        <v>0</v>
      </c>
      <c r="AJ140" s="10" t="s">
        <v>14</v>
      </c>
      <c r="AK140" s="10" t="s">
        <v>43</v>
      </c>
      <c r="AL140" s="10" t="s">
        <v>49</v>
      </c>
      <c r="AM140" s="78">
        <f>IF(F140&gt;0.79,IF(ROUNDUP(IF(B140="FS",(V140*HRS!$B$9),(V140*HRS!$L$2))*2,-3)&gt;150000,150000,(ROUNDUP(IF(B140="FS",(V140*HRS!$B$9),(V140*HRS!$L$2))*2,-3))),0)</f>
        <v>150000</v>
      </c>
      <c r="AN140" s="188">
        <f t="shared" si="191"/>
        <v>90070</v>
      </c>
      <c r="AO140" s="77">
        <f>IF(L140="N",IF(B140="FS",ROUNDUP($V140*HRS!$B$9*'Position Control'!F140,0),ROUNDUP('Position Control'!$V140*HRS!$L$2*'Position Control'!F140,0)),IF('Position Control'!B140="FS",ROUNDUP(('Position Control'!V140*HRS!$B$9*'Position Control'!W140*'Position Control'!F140)+('Position Control'!X140*HRS!$B$9*'Position Control'!Y140*'Position Control'!F140),0),ROUNDUP(('Position Control'!V140*HRS!$L$2*'Position Control'!W140*'Position Control'!F140)+('Position Control'!X140*HRS!$L$2*'Position Control'!Y140*'Position Control'!F140),0)))*'Position Control'!H140</f>
        <v>87970</v>
      </c>
      <c r="AP140" s="77">
        <f t="shared" si="192"/>
        <v>0</v>
      </c>
      <c r="AQ140" s="77">
        <f t="shared" si="193"/>
        <v>900</v>
      </c>
      <c r="AR140" s="77">
        <f t="shared" si="194"/>
        <v>1200</v>
      </c>
      <c r="AS140" s="77">
        <v>0</v>
      </c>
      <c r="AT140" s="79">
        <f t="shared" si="195"/>
        <v>0</v>
      </c>
      <c r="AU140" s="77">
        <f t="shared" si="196"/>
        <v>0</v>
      </c>
      <c r="AV140" s="77">
        <v>0</v>
      </c>
      <c r="AW140" s="77">
        <f t="shared" si="197"/>
        <v>0</v>
      </c>
      <c r="AX140" s="77">
        <f t="shared" si="198"/>
        <v>0</v>
      </c>
      <c r="AY140" s="77">
        <f t="shared" si="199"/>
        <v>0</v>
      </c>
      <c r="AZ140" s="77">
        <f t="shared" si="200"/>
        <v>0</v>
      </c>
      <c r="BA140" s="77">
        <f t="shared" si="201"/>
        <v>0</v>
      </c>
      <c r="BB140" s="77">
        <f t="shared" si="202"/>
        <v>0</v>
      </c>
      <c r="BC140" s="77">
        <f t="shared" si="186"/>
        <v>0</v>
      </c>
      <c r="BD140" s="77">
        <f t="shared" si="211"/>
        <v>1200</v>
      </c>
      <c r="BE140" s="77">
        <f t="shared" si="203"/>
        <v>7260</v>
      </c>
      <c r="BF140" s="77">
        <f t="shared" si="204"/>
        <v>180</v>
      </c>
      <c r="BG140" s="77">
        <f>VLOOKUP($AJ140,BENE!$I$2:$N$9,6,FALSE)*'Position Control'!$H140</f>
        <v>389</v>
      </c>
      <c r="BH140" s="77">
        <f>VLOOKUP($AK140,BENE!$A$2:$F$19,6,FALSE)*'Position Control'!$H140</f>
        <v>6870</v>
      </c>
      <c r="BI140" s="77">
        <f>VLOOKUP($AK140,BENE!$A$2:$G$19,7,FALSE)*'Position Control'!$H140</f>
        <v>0</v>
      </c>
      <c r="BJ140" s="77">
        <f>VLOOKUP($AL140,BENE!$P$2:$S$6,4,FALSE)*'Position Control'!$H140</f>
        <v>0</v>
      </c>
      <c r="BK140" s="77">
        <f>IF($F140&gt;HRS!$H$2,ROUNDUP(((($AN140+$BE140)*$BK$3)/12*9)+(($AN140+$BE140)*HRS!$B$10/12*3),0),0)*$H140</f>
        <v>16410</v>
      </c>
      <c r="BL140" s="80">
        <f t="shared" si="205"/>
        <v>1122</v>
      </c>
      <c r="BM140" s="77">
        <f t="shared" si="206"/>
        <v>144</v>
      </c>
      <c r="BN140" s="77">
        <f t="shared" si="207"/>
        <v>1307</v>
      </c>
      <c r="BO140" s="77">
        <f t="shared" si="208"/>
        <v>162</v>
      </c>
      <c r="BP140" s="77">
        <f t="shared" si="209"/>
        <v>2000</v>
      </c>
      <c r="BQ140" s="77">
        <v>0</v>
      </c>
      <c r="BR140" s="80">
        <f t="shared" si="210"/>
        <v>127114</v>
      </c>
    </row>
    <row r="141" spans="1:70" outlineLevel="1" x14ac:dyDescent="0.35">
      <c r="A141" s="1" t="s">
        <v>6</v>
      </c>
      <c r="B141" s="1" t="s">
        <v>156</v>
      </c>
      <c r="C141" s="1" t="s">
        <v>8</v>
      </c>
      <c r="D141" s="1" t="s">
        <v>140</v>
      </c>
      <c r="E141" s="1" t="s">
        <v>89</v>
      </c>
      <c r="F141" s="2">
        <v>1</v>
      </c>
      <c r="G141" s="66">
        <v>1</v>
      </c>
      <c r="H141" s="66">
        <v>1</v>
      </c>
      <c r="I141" s="1" t="s">
        <v>611</v>
      </c>
      <c r="J141" s="1" t="s">
        <v>612</v>
      </c>
      <c r="K141" s="1" t="s">
        <v>191</v>
      </c>
      <c r="L141" s="76" t="str">
        <f>IF(M141="","N",STEP!$J$22)</f>
        <v>Y</v>
      </c>
      <c r="M141" s="1" t="s">
        <v>163</v>
      </c>
      <c r="N141" s="1" t="s">
        <v>164</v>
      </c>
      <c r="O141" s="1">
        <v>5</v>
      </c>
      <c r="P141" s="1">
        <v>5</v>
      </c>
      <c r="Q141" s="185">
        <v>19961031</v>
      </c>
      <c r="R141" s="196">
        <v>35369</v>
      </c>
      <c r="S141" s="197">
        <f t="shared" si="188"/>
        <v>310</v>
      </c>
      <c r="T141" s="66">
        <f t="shared" si="189"/>
        <v>26</v>
      </c>
      <c r="U141" s="65">
        <v>20211007</v>
      </c>
      <c r="V141" s="70">
        <v>32.223399999999998</v>
      </c>
      <c r="W141" s="74">
        <f t="shared" si="161"/>
        <v>6.0000000000004494E-4</v>
      </c>
      <c r="X141" s="70" cm="1">
        <f t="array" ref="X141">IF(U141="","",INDEX(STEP!$C:$C,MATCH('Position Control'!M141&amp;'Position Control'!P141,STEP!$A:$A&amp;STEP!$B:$B,0)))</f>
        <v>32.223399999999998</v>
      </c>
      <c r="Y141" s="74">
        <f t="shared" si="190"/>
        <v>0.99939999999999996</v>
      </c>
      <c r="Z141" s="1">
        <v>7704</v>
      </c>
      <c r="AA141" s="112">
        <f>VLOOKUP(Z141,'WRK COMP'!$A$1:$E$17,5,FALSE)</f>
        <v>1.2449999999999999E-2</v>
      </c>
      <c r="AB141" s="76" t="s">
        <v>13</v>
      </c>
      <c r="AC141" s="68">
        <v>0</v>
      </c>
      <c r="AD141" s="209">
        <v>137.5</v>
      </c>
      <c r="AE141" s="209">
        <v>0</v>
      </c>
      <c r="AF141" s="209">
        <v>0</v>
      </c>
      <c r="AG141" s="209">
        <v>50</v>
      </c>
      <c r="AH141" s="68">
        <v>0</v>
      </c>
      <c r="AI141" s="68">
        <v>0</v>
      </c>
      <c r="AJ141" s="10" t="s">
        <v>61</v>
      </c>
      <c r="AK141" s="10" t="s">
        <v>29</v>
      </c>
      <c r="AL141" s="10" t="s">
        <v>58</v>
      </c>
      <c r="AM141" s="78">
        <f>IF(F141&gt;0.79,IF(ROUNDUP(IF(B141="FS",(V141*HRS!$B$9),(V141*HRS!$L$2))*2,-3)&gt;150000,150000,(ROUNDUP(IF(B141="FS",(V141*HRS!$B$9),(V141*HRS!$L$2))*2,-3))),0)</f>
        <v>150000</v>
      </c>
      <c r="AN141" s="188">
        <f t="shared" si="191"/>
        <v>92470</v>
      </c>
      <c r="AO141" s="77">
        <f>IF(L141="N",IF(B141="FS",ROUNDUP($V141*HRS!$B$9*'Position Control'!F141,0),ROUNDUP('Position Control'!$V141*HRS!$L$2*'Position Control'!F141,0)),IF('Position Control'!B141="FS",ROUNDUP(('Position Control'!V141*HRS!$B$9*'Position Control'!W141*'Position Control'!F141)+('Position Control'!X141*HRS!$B$9*'Position Control'!Y141*'Position Control'!F141),0),ROUNDUP(('Position Control'!V141*HRS!$L$2*'Position Control'!W141*'Position Control'!F141)+('Position Control'!X141*HRS!$L$2*'Position Control'!Y141*'Position Control'!F141),0)))*'Position Control'!H141</f>
        <v>87970</v>
      </c>
      <c r="AP141" s="77">
        <f t="shared" si="192"/>
        <v>0</v>
      </c>
      <c r="AQ141" s="77">
        <f t="shared" si="193"/>
        <v>3300</v>
      </c>
      <c r="AR141" s="77">
        <f t="shared" si="194"/>
        <v>1200</v>
      </c>
      <c r="AS141" s="77">
        <v>0</v>
      </c>
      <c r="AT141" s="79">
        <f t="shared" si="195"/>
        <v>0</v>
      </c>
      <c r="AU141" s="77">
        <f t="shared" si="196"/>
        <v>0</v>
      </c>
      <c r="AV141" s="77">
        <v>0</v>
      </c>
      <c r="AW141" s="77">
        <f t="shared" si="197"/>
        <v>0</v>
      </c>
      <c r="AX141" s="77">
        <f t="shared" si="198"/>
        <v>0</v>
      </c>
      <c r="AY141" s="77">
        <f t="shared" si="199"/>
        <v>0</v>
      </c>
      <c r="AZ141" s="77">
        <f t="shared" si="200"/>
        <v>0</v>
      </c>
      <c r="BA141" s="77">
        <f t="shared" si="201"/>
        <v>0</v>
      </c>
      <c r="BB141" s="77">
        <f t="shared" si="202"/>
        <v>0</v>
      </c>
      <c r="BC141" s="77">
        <f t="shared" si="186"/>
        <v>0</v>
      </c>
      <c r="BD141" s="77">
        <f t="shared" si="211"/>
        <v>1200</v>
      </c>
      <c r="BE141" s="77">
        <f t="shared" si="203"/>
        <v>7260</v>
      </c>
      <c r="BF141" s="77">
        <f t="shared" si="204"/>
        <v>180</v>
      </c>
      <c r="BG141" s="77">
        <f>VLOOKUP($AJ141,BENE!$I$2:$N$9,6,FALSE)*'Position Control'!$H141</f>
        <v>311</v>
      </c>
      <c r="BH141" s="77">
        <f>VLOOKUP($AK141,BENE!$A$2:$F$19,6,FALSE)*'Position Control'!$H141</f>
        <v>15700</v>
      </c>
      <c r="BI141" s="77">
        <f>VLOOKUP($AK141,BENE!$A$2:$G$19,7,FALSE)*'Position Control'!$H141</f>
        <v>1500</v>
      </c>
      <c r="BJ141" s="77">
        <f>VLOOKUP($AL141,BENE!$P$2:$S$6,4,FALSE)*'Position Control'!$H141</f>
        <v>444</v>
      </c>
      <c r="BK141" s="77">
        <f>IF($F141&gt;HRS!$H$2,ROUNDUP(((($AN141+$BE141)*$BK$3)/12*9)+(($AN141+$BE141)*HRS!$B$10/12*3),0),0)*$H141</f>
        <v>16815</v>
      </c>
      <c r="BL141" s="80">
        <f t="shared" si="205"/>
        <v>1152</v>
      </c>
      <c r="BM141" s="77">
        <f t="shared" si="206"/>
        <v>144</v>
      </c>
      <c r="BN141" s="77">
        <f t="shared" si="207"/>
        <v>1341</v>
      </c>
      <c r="BO141" s="77">
        <f t="shared" si="208"/>
        <v>166</v>
      </c>
      <c r="BP141" s="77">
        <f t="shared" si="209"/>
        <v>2000</v>
      </c>
      <c r="BQ141" s="77">
        <v>0</v>
      </c>
      <c r="BR141" s="80">
        <f t="shared" si="210"/>
        <v>140683</v>
      </c>
    </row>
    <row r="142" spans="1:70" outlineLevel="1" x14ac:dyDescent="0.35">
      <c r="A142" s="1" t="s">
        <v>6</v>
      </c>
      <c r="B142" s="1" t="s">
        <v>156</v>
      </c>
      <c r="C142" s="1" t="s">
        <v>8</v>
      </c>
      <c r="D142" s="1" t="s">
        <v>140</v>
      </c>
      <c r="E142" s="1" t="s">
        <v>89</v>
      </c>
      <c r="F142" s="2">
        <v>1</v>
      </c>
      <c r="G142" s="66">
        <v>1</v>
      </c>
      <c r="H142" s="66">
        <v>1</v>
      </c>
      <c r="I142" s="1" t="s">
        <v>611</v>
      </c>
      <c r="J142" s="1" t="s">
        <v>612</v>
      </c>
      <c r="K142" s="1" t="s">
        <v>201</v>
      </c>
      <c r="L142" s="76" t="str">
        <f>IF(M142="","N",STEP!$J$22)</f>
        <v>Y</v>
      </c>
      <c r="M142" s="1" t="s">
        <v>163</v>
      </c>
      <c r="N142" s="1" t="s">
        <v>164</v>
      </c>
      <c r="O142" s="1">
        <v>5</v>
      </c>
      <c r="P142" s="1">
        <v>5</v>
      </c>
      <c r="Q142" s="185">
        <v>20120827</v>
      </c>
      <c r="R142" s="196">
        <v>41148</v>
      </c>
      <c r="S142" s="197">
        <f t="shared" si="188"/>
        <v>121</v>
      </c>
      <c r="T142" s="66">
        <f t="shared" si="189"/>
        <v>11</v>
      </c>
      <c r="U142" s="65">
        <v>20220110</v>
      </c>
      <c r="V142" s="70">
        <v>32.223399999999998</v>
      </c>
      <c r="W142" s="74">
        <f t="shared" si="161"/>
        <v>0.91090000000000004</v>
      </c>
      <c r="X142" s="70" cm="1">
        <f t="array" ref="X142">IF(U142="","",INDEX(STEP!$C:$C,MATCH('Position Control'!M142&amp;'Position Control'!P142,STEP!$A:$A&amp;STEP!$B:$B,0)))</f>
        <v>32.223399999999998</v>
      </c>
      <c r="Y142" s="74">
        <f t="shared" si="190"/>
        <v>8.9099999999999999E-2</v>
      </c>
      <c r="Z142" s="1">
        <v>7704</v>
      </c>
      <c r="AA142" s="112">
        <f>VLOOKUP(Z142,'WRK COMP'!$A$1:$E$17,5,FALSE)</f>
        <v>1.2449999999999999E-2</v>
      </c>
      <c r="AB142" s="76" t="s">
        <v>13</v>
      </c>
      <c r="AC142" s="68">
        <v>0</v>
      </c>
      <c r="AD142" s="209">
        <v>100</v>
      </c>
      <c r="AE142" s="209">
        <v>0</v>
      </c>
      <c r="AF142" s="209">
        <v>0</v>
      </c>
      <c r="AG142" s="209">
        <v>50</v>
      </c>
      <c r="AH142" s="68">
        <v>0</v>
      </c>
      <c r="AI142" s="68">
        <v>0</v>
      </c>
      <c r="AJ142" s="10" t="s">
        <v>14</v>
      </c>
      <c r="AK142" s="10" t="s">
        <v>43</v>
      </c>
      <c r="AL142" s="10" t="s">
        <v>49</v>
      </c>
      <c r="AM142" s="78">
        <f>IF(F142&gt;0.79,IF(ROUNDUP(IF(B142="FS",(V142*HRS!$B$9),(V142*HRS!$L$2))*2,-3)&gt;150000,150000,(ROUNDUP(IF(B142="FS",(V142*HRS!$B$9),(V142*HRS!$L$2))*2,-3))),0)</f>
        <v>150000</v>
      </c>
      <c r="AN142" s="188">
        <f t="shared" si="191"/>
        <v>91570</v>
      </c>
      <c r="AO142" s="77">
        <f>IF(L142="N",IF(B142="FS",ROUNDUP($V142*HRS!$B$9*'Position Control'!F142,0),ROUNDUP('Position Control'!$V142*HRS!$L$2*'Position Control'!F142,0)),IF('Position Control'!B142="FS",ROUNDUP(('Position Control'!V142*HRS!$B$9*'Position Control'!W142*'Position Control'!F142)+('Position Control'!X142*HRS!$B$9*'Position Control'!Y142*'Position Control'!F142),0),ROUNDUP(('Position Control'!V142*HRS!$L$2*'Position Control'!W142*'Position Control'!F142)+('Position Control'!X142*HRS!$L$2*'Position Control'!Y142*'Position Control'!F142),0)))*'Position Control'!H142</f>
        <v>87970</v>
      </c>
      <c r="AP142" s="77">
        <f t="shared" si="192"/>
        <v>0</v>
      </c>
      <c r="AQ142" s="77">
        <f t="shared" si="193"/>
        <v>2400</v>
      </c>
      <c r="AR142" s="77">
        <f t="shared" si="194"/>
        <v>1200</v>
      </c>
      <c r="AS142" s="77">
        <v>0</v>
      </c>
      <c r="AT142" s="79">
        <f t="shared" si="195"/>
        <v>0</v>
      </c>
      <c r="AU142" s="77">
        <f t="shared" si="196"/>
        <v>0</v>
      </c>
      <c r="AV142" s="77">
        <v>0</v>
      </c>
      <c r="AW142" s="77">
        <f t="shared" si="197"/>
        <v>0</v>
      </c>
      <c r="AX142" s="77">
        <f t="shared" si="198"/>
        <v>0</v>
      </c>
      <c r="AY142" s="77">
        <f t="shared" si="199"/>
        <v>0</v>
      </c>
      <c r="AZ142" s="77">
        <f t="shared" si="200"/>
        <v>0</v>
      </c>
      <c r="BA142" s="77">
        <f t="shared" si="201"/>
        <v>0</v>
      </c>
      <c r="BB142" s="77">
        <f t="shared" si="202"/>
        <v>0</v>
      </c>
      <c r="BC142" s="77">
        <f t="shared" si="186"/>
        <v>0</v>
      </c>
      <c r="BD142" s="77">
        <f t="shared" si="211"/>
        <v>605</v>
      </c>
      <c r="BE142" s="77">
        <f t="shared" si="203"/>
        <v>7260</v>
      </c>
      <c r="BF142" s="77">
        <f t="shared" si="204"/>
        <v>180</v>
      </c>
      <c r="BG142" s="77">
        <f>VLOOKUP($AJ142,BENE!$I$2:$N$9,6,FALSE)*'Position Control'!$H142</f>
        <v>389</v>
      </c>
      <c r="BH142" s="77">
        <f>VLOOKUP($AK142,BENE!$A$2:$F$19,6,FALSE)*'Position Control'!$H142</f>
        <v>6870</v>
      </c>
      <c r="BI142" s="77">
        <f>VLOOKUP($AK142,BENE!$A$2:$G$19,7,FALSE)*'Position Control'!$H142</f>
        <v>0</v>
      </c>
      <c r="BJ142" s="77">
        <f>VLOOKUP($AL142,BENE!$P$2:$S$6,4,FALSE)*'Position Control'!$H142</f>
        <v>0</v>
      </c>
      <c r="BK142" s="77">
        <f>IF($F142&gt;HRS!$H$2,ROUNDUP(((($AN142+$BE142)*$BK$3)/12*9)+(($AN142+$BE142)*HRS!$B$10/12*3),0),0)*$H142</f>
        <v>16663</v>
      </c>
      <c r="BL142" s="80">
        <f t="shared" si="205"/>
        <v>1141</v>
      </c>
      <c r="BM142" s="77">
        <f t="shared" si="206"/>
        <v>144</v>
      </c>
      <c r="BN142" s="77">
        <f t="shared" si="207"/>
        <v>1328</v>
      </c>
      <c r="BO142" s="77">
        <f t="shared" si="208"/>
        <v>165</v>
      </c>
      <c r="BP142" s="77">
        <f t="shared" si="209"/>
        <v>1000</v>
      </c>
      <c r="BQ142" s="77">
        <v>0</v>
      </c>
      <c r="BR142" s="80">
        <f t="shared" si="210"/>
        <v>127315</v>
      </c>
    </row>
    <row r="143" spans="1:70" outlineLevel="1" x14ac:dyDescent="0.35">
      <c r="A143" s="1" t="s">
        <v>6</v>
      </c>
      <c r="B143" s="1" t="s">
        <v>156</v>
      </c>
      <c r="C143" s="1" t="s">
        <v>8</v>
      </c>
      <c r="D143" s="1" t="s">
        <v>140</v>
      </c>
      <c r="E143" s="1" t="s">
        <v>89</v>
      </c>
      <c r="F143" s="2">
        <v>1</v>
      </c>
      <c r="G143" s="66">
        <v>1</v>
      </c>
      <c r="H143" s="66">
        <v>1</v>
      </c>
      <c r="I143" s="1" t="s">
        <v>611</v>
      </c>
      <c r="J143" s="1" t="s">
        <v>612</v>
      </c>
      <c r="K143" s="1" t="s">
        <v>198</v>
      </c>
      <c r="L143" s="76" t="str">
        <f>IF(M143="","N",STEP!$J$22)</f>
        <v>Y</v>
      </c>
      <c r="M143" s="1" t="s">
        <v>163</v>
      </c>
      <c r="N143" s="1" t="s">
        <v>164</v>
      </c>
      <c r="O143" s="1">
        <v>5</v>
      </c>
      <c r="P143" s="1">
        <v>5</v>
      </c>
      <c r="Q143" s="185">
        <v>20040126</v>
      </c>
      <c r="R143" s="196">
        <v>38012</v>
      </c>
      <c r="S143" s="197">
        <f t="shared" si="188"/>
        <v>224</v>
      </c>
      <c r="T143" s="66">
        <f t="shared" si="189"/>
        <v>19</v>
      </c>
      <c r="U143" s="65">
        <v>20211007</v>
      </c>
      <c r="V143" s="70">
        <v>32.223399999999998</v>
      </c>
      <c r="W143" s="74">
        <f t="shared" si="161"/>
        <v>6.0000000000004494E-4</v>
      </c>
      <c r="X143" s="70" cm="1">
        <f t="array" ref="X143">IF(U143="","",INDEX(STEP!$C:$C,MATCH('Position Control'!M143&amp;'Position Control'!P143,STEP!$A:$A&amp;STEP!$B:$B,0)))</f>
        <v>32.223399999999998</v>
      </c>
      <c r="Y143" s="74">
        <f t="shared" si="190"/>
        <v>0.99939999999999996</v>
      </c>
      <c r="Z143" s="1">
        <v>7704</v>
      </c>
      <c r="AA143" s="112">
        <f>VLOOKUP(Z143,'WRK COMP'!$A$1:$E$17,5,FALSE)</f>
        <v>1.2449999999999999E-2</v>
      </c>
      <c r="AB143" s="76" t="s">
        <v>13</v>
      </c>
      <c r="AC143" s="68">
        <v>0</v>
      </c>
      <c r="AD143" s="209">
        <v>137.5</v>
      </c>
      <c r="AE143" s="209">
        <v>0</v>
      </c>
      <c r="AF143" s="209">
        <v>0</v>
      </c>
      <c r="AG143" s="209">
        <v>50</v>
      </c>
      <c r="AH143" s="68">
        <v>0</v>
      </c>
      <c r="AI143" s="68">
        <v>0</v>
      </c>
      <c r="AJ143" s="10" t="s">
        <v>14</v>
      </c>
      <c r="AK143" s="10" t="s">
        <v>43</v>
      </c>
      <c r="AL143" s="10" t="s">
        <v>49</v>
      </c>
      <c r="AM143" s="78">
        <f>IF(F143&gt;0.79,IF(ROUNDUP(IF(B143="FS",(V143*HRS!$B$9),(V143*HRS!$L$2))*2,-3)&gt;150000,150000,(ROUNDUP(IF(B143="FS",(V143*HRS!$B$9),(V143*HRS!$L$2))*2,-3))),0)</f>
        <v>150000</v>
      </c>
      <c r="AN143" s="188">
        <f t="shared" si="191"/>
        <v>92470</v>
      </c>
      <c r="AO143" s="77">
        <f>IF(L143="N",IF(B143="FS",ROUNDUP($V143*HRS!$B$9*'Position Control'!F143,0),ROUNDUP('Position Control'!$V143*HRS!$L$2*'Position Control'!F143,0)),IF('Position Control'!B143="FS",ROUNDUP(('Position Control'!V143*HRS!$B$9*'Position Control'!W143*'Position Control'!F143)+('Position Control'!X143*HRS!$B$9*'Position Control'!Y143*'Position Control'!F143),0),ROUNDUP(('Position Control'!V143*HRS!$L$2*'Position Control'!W143*'Position Control'!F143)+('Position Control'!X143*HRS!$L$2*'Position Control'!Y143*'Position Control'!F143),0)))*'Position Control'!H143</f>
        <v>87970</v>
      </c>
      <c r="AP143" s="77">
        <f t="shared" si="192"/>
        <v>0</v>
      </c>
      <c r="AQ143" s="77">
        <f t="shared" si="193"/>
        <v>3300</v>
      </c>
      <c r="AR143" s="77">
        <f t="shared" si="194"/>
        <v>1200</v>
      </c>
      <c r="AS143" s="77">
        <v>0</v>
      </c>
      <c r="AT143" s="79">
        <f t="shared" si="195"/>
        <v>0</v>
      </c>
      <c r="AU143" s="77">
        <f t="shared" si="196"/>
        <v>0</v>
      </c>
      <c r="AV143" s="77">
        <v>0</v>
      </c>
      <c r="AW143" s="77">
        <f t="shared" si="197"/>
        <v>0</v>
      </c>
      <c r="AX143" s="77">
        <f t="shared" si="198"/>
        <v>0</v>
      </c>
      <c r="AY143" s="77">
        <f t="shared" si="199"/>
        <v>0</v>
      </c>
      <c r="AZ143" s="77">
        <f t="shared" si="200"/>
        <v>0</v>
      </c>
      <c r="BA143" s="77">
        <f t="shared" si="201"/>
        <v>0</v>
      </c>
      <c r="BB143" s="77">
        <f t="shared" si="202"/>
        <v>0</v>
      </c>
      <c r="BC143" s="77">
        <f t="shared" si="186"/>
        <v>0</v>
      </c>
      <c r="BD143" s="77">
        <f t="shared" ref="BD143:BD152" si="214">IF($S143&gt;=12,IF(($S143*5)&gt;1200,1200,$S143*5),0)*$H143</f>
        <v>1120</v>
      </c>
      <c r="BE143" s="77">
        <f t="shared" si="203"/>
        <v>7260</v>
      </c>
      <c r="BF143" s="77">
        <f t="shared" si="204"/>
        <v>180</v>
      </c>
      <c r="BG143" s="77">
        <f>VLOOKUP($AJ143,BENE!$I$2:$N$9,6,FALSE)*'Position Control'!$H143</f>
        <v>389</v>
      </c>
      <c r="BH143" s="77">
        <f>VLOOKUP($AK143,BENE!$A$2:$F$19,6,FALSE)*'Position Control'!$H143</f>
        <v>6870</v>
      </c>
      <c r="BI143" s="77">
        <f>VLOOKUP($AK143,BENE!$A$2:$G$19,7,FALSE)*'Position Control'!$H143</f>
        <v>0</v>
      </c>
      <c r="BJ143" s="77">
        <f>VLOOKUP($AL143,BENE!$P$2:$S$6,4,FALSE)*'Position Control'!$H143</f>
        <v>0</v>
      </c>
      <c r="BK143" s="77">
        <f>IF($F143&gt;HRS!$H$2,ROUNDUP(((($AN143+$BE143)*$BK$3)/12*9)+(($AN143+$BE143)*HRS!$B$10/12*3),0),0)*$H143</f>
        <v>16815</v>
      </c>
      <c r="BL143" s="80">
        <f t="shared" si="205"/>
        <v>1152</v>
      </c>
      <c r="BM143" s="77">
        <f t="shared" si="206"/>
        <v>144</v>
      </c>
      <c r="BN143" s="77">
        <f t="shared" si="207"/>
        <v>1341</v>
      </c>
      <c r="BO143" s="77">
        <f t="shared" si="208"/>
        <v>166</v>
      </c>
      <c r="BP143" s="77">
        <f t="shared" si="209"/>
        <v>1500</v>
      </c>
      <c r="BQ143" s="77">
        <v>0</v>
      </c>
      <c r="BR143" s="80">
        <f t="shared" si="210"/>
        <v>129407</v>
      </c>
    </row>
    <row r="144" spans="1:70" outlineLevel="1" x14ac:dyDescent="0.35">
      <c r="A144" s="1" t="s">
        <v>6</v>
      </c>
      <c r="B144" s="1" t="s">
        <v>156</v>
      </c>
      <c r="C144" s="1" t="s">
        <v>8</v>
      </c>
      <c r="D144" s="1" t="s">
        <v>140</v>
      </c>
      <c r="E144" s="1" t="s">
        <v>89</v>
      </c>
      <c r="F144" s="2">
        <v>1</v>
      </c>
      <c r="G144" s="66">
        <v>1</v>
      </c>
      <c r="H144" s="66">
        <v>1</v>
      </c>
      <c r="I144" s="1" t="s">
        <v>611</v>
      </c>
      <c r="J144" s="1" t="s">
        <v>612</v>
      </c>
      <c r="K144" s="1" t="s">
        <v>193</v>
      </c>
      <c r="L144" s="76" t="str">
        <f>IF(M144="","N",STEP!$J$22)</f>
        <v>Y</v>
      </c>
      <c r="M144" s="1" t="s">
        <v>163</v>
      </c>
      <c r="N144" s="1" t="s">
        <v>164</v>
      </c>
      <c r="O144" s="1">
        <v>2</v>
      </c>
      <c r="P144" s="1">
        <v>3</v>
      </c>
      <c r="Q144" s="185">
        <v>20180102</v>
      </c>
      <c r="R144" s="196">
        <v>43102</v>
      </c>
      <c r="S144" s="197">
        <f t="shared" si="188"/>
        <v>56</v>
      </c>
      <c r="T144" s="66">
        <f t="shared" si="189"/>
        <v>5</v>
      </c>
      <c r="U144" s="65">
        <v>20211001</v>
      </c>
      <c r="V144" s="70">
        <v>29.488900000000001</v>
      </c>
      <c r="W144" s="74">
        <f>IF(U144="","",(1-Y144))</f>
        <v>0</v>
      </c>
      <c r="X144" s="70" cm="1">
        <f t="array" ref="X144">IF(U144="","",INDEX(STEP!$C:$C,MATCH('Position Control'!M144&amp;'Position Control'!P144,STEP!$A:$A&amp;STEP!$B:$B,0)))</f>
        <v>30.3736</v>
      </c>
      <c r="Y144" s="74">
        <f t="shared" si="190"/>
        <v>1</v>
      </c>
      <c r="Z144" s="1">
        <v>7704</v>
      </c>
      <c r="AA144" s="112">
        <f>VLOOKUP(Z144,'WRK COMP'!$A$1:$E$17,5,FALSE)</f>
        <v>1.2449999999999999E-2</v>
      </c>
      <c r="AB144" s="76" t="s">
        <v>13</v>
      </c>
      <c r="AC144" s="68">
        <v>0</v>
      </c>
      <c r="AD144" s="209">
        <v>87.5</v>
      </c>
      <c r="AE144" s="209">
        <v>0</v>
      </c>
      <c r="AF144" s="209">
        <v>0</v>
      </c>
      <c r="AG144" s="209">
        <v>50</v>
      </c>
      <c r="AH144" s="68">
        <v>0</v>
      </c>
      <c r="AI144" s="68">
        <v>0</v>
      </c>
      <c r="AJ144" s="10" t="s">
        <v>18</v>
      </c>
      <c r="AK144" s="10" t="s">
        <v>126</v>
      </c>
      <c r="AL144" s="10" t="s">
        <v>58</v>
      </c>
      <c r="AM144" s="78">
        <f>IF(F144&gt;0.79,IF(ROUNDUP(IF(B144="FS",(V144*HRS!$B$9),(V144*HRS!$L$2))*2,-3)&gt;150000,150000,(ROUNDUP(IF(B144="FS",(V144*HRS!$B$9),(V144*HRS!$L$2))*2,-3))),0)</f>
        <v>150000</v>
      </c>
      <c r="AN144" s="188">
        <f t="shared" si="191"/>
        <v>86220</v>
      </c>
      <c r="AO144" s="77">
        <f>IF(L144="N",IF(B144="FS",ROUNDUP($V144*HRS!$B$9*'Position Control'!F144,0),ROUNDUP('Position Control'!$V144*HRS!$L$2*'Position Control'!F144,0)),IF('Position Control'!B144="FS",ROUNDUP(('Position Control'!V144*HRS!$B$9*'Position Control'!W144*'Position Control'!F144)+('Position Control'!X144*HRS!$B$9*'Position Control'!Y144*'Position Control'!F144),0),ROUNDUP(('Position Control'!V144*HRS!$L$2*'Position Control'!W144*'Position Control'!F144)+('Position Control'!X144*HRS!$L$2*'Position Control'!Y144*'Position Control'!F144),0)))*'Position Control'!H144</f>
        <v>82920</v>
      </c>
      <c r="AP144" s="77">
        <f t="shared" si="192"/>
        <v>0</v>
      </c>
      <c r="AQ144" s="77">
        <f t="shared" si="193"/>
        <v>2100</v>
      </c>
      <c r="AR144" s="77">
        <f t="shared" si="194"/>
        <v>1200</v>
      </c>
      <c r="AS144" s="77">
        <v>0</v>
      </c>
      <c r="AT144" s="79">
        <f t="shared" si="195"/>
        <v>0</v>
      </c>
      <c r="AU144" s="77">
        <f t="shared" si="196"/>
        <v>0</v>
      </c>
      <c r="AV144" s="77">
        <v>0</v>
      </c>
      <c r="AW144" s="77">
        <f t="shared" si="197"/>
        <v>0</v>
      </c>
      <c r="AX144" s="77">
        <f t="shared" si="198"/>
        <v>0</v>
      </c>
      <c r="AY144" s="77">
        <f t="shared" si="199"/>
        <v>0</v>
      </c>
      <c r="AZ144" s="77">
        <f t="shared" si="200"/>
        <v>0</v>
      </c>
      <c r="BA144" s="77">
        <f t="shared" si="201"/>
        <v>0</v>
      </c>
      <c r="BB144" s="77">
        <f t="shared" si="202"/>
        <v>0</v>
      </c>
      <c r="BC144" s="77">
        <f>SUM(AX144:BB144)</f>
        <v>0</v>
      </c>
      <c r="BD144" s="77">
        <f t="shared" si="214"/>
        <v>280</v>
      </c>
      <c r="BE144" s="77">
        <f t="shared" si="203"/>
        <v>6840</v>
      </c>
      <c r="BF144" s="77">
        <f t="shared" si="204"/>
        <v>180</v>
      </c>
      <c r="BG144" s="77">
        <f>VLOOKUP($AJ144,BENE!$I$2:$N$9,6,FALSE)*'Position Control'!$H144</f>
        <v>760</v>
      </c>
      <c r="BH144" s="77">
        <f>VLOOKUP($AK144,BENE!$A$2:$F$19,6,FALSE)*'Position Control'!$H144</f>
        <v>17738</v>
      </c>
      <c r="BI144" s="77">
        <f>VLOOKUP($AK144,BENE!$A$2:$G$19,7,FALSE)*'Position Control'!$H144</f>
        <v>1500</v>
      </c>
      <c r="BJ144" s="77">
        <f>VLOOKUP($AL144,BENE!$P$2:$S$6,4,FALSE)*'Position Control'!$H144</f>
        <v>444</v>
      </c>
      <c r="BK144" s="77">
        <f>IF($F144&gt;HRS!$H$2,ROUNDUP(((($AN144+$BE144)*$BK$3)/12*9)+(($AN144+$BE144)*HRS!$B$10/12*3),0),0)*$H144</f>
        <v>15690</v>
      </c>
      <c r="BL144" s="80">
        <f t="shared" si="205"/>
        <v>1074</v>
      </c>
      <c r="BM144" s="77">
        <f t="shared" si="206"/>
        <v>144</v>
      </c>
      <c r="BN144" s="77">
        <f t="shared" si="207"/>
        <v>1251</v>
      </c>
      <c r="BO144" s="77">
        <f t="shared" si="208"/>
        <v>155</v>
      </c>
      <c r="BP144" s="77">
        <f t="shared" si="209"/>
        <v>0</v>
      </c>
      <c r="BQ144" s="77">
        <v>0</v>
      </c>
      <c r="BR144" s="80">
        <f t="shared" si="210"/>
        <v>132276</v>
      </c>
    </row>
    <row r="145" spans="1:70" outlineLevel="1" x14ac:dyDescent="0.35">
      <c r="A145" s="1" t="s">
        <v>6</v>
      </c>
      <c r="B145" s="1" t="s">
        <v>156</v>
      </c>
      <c r="C145" s="1" t="s">
        <v>8</v>
      </c>
      <c r="D145" s="1" t="s">
        <v>140</v>
      </c>
      <c r="E145" s="1" t="s">
        <v>89</v>
      </c>
      <c r="F145" s="2">
        <v>1</v>
      </c>
      <c r="G145" s="66">
        <v>1</v>
      </c>
      <c r="H145" s="66">
        <v>1</v>
      </c>
      <c r="I145" s="1" t="s">
        <v>611</v>
      </c>
      <c r="J145" s="1" t="s">
        <v>612</v>
      </c>
      <c r="K145" s="1" t="s">
        <v>183</v>
      </c>
      <c r="L145" s="76" t="str">
        <f>IF(M145="","N",STEP!$J$22)</f>
        <v>Y</v>
      </c>
      <c r="M145" s="1" t="s">
        <v>163</v>
      </c>
      <c r="N145" s="1" t="s">
        <v>164</v>
      </c>
      <c r="O145" s="1">
        <v>3</v>
      </c>
      <c r="P145" s="1">
        <v>4</v>
      </c>
      <c r="Q145" s="185">
        <v>20110307</v>
      </c>
      <c r="R145" s="196">
        <v>40609</v>
      </c>
      <c r="S145" s="197">
        <f t="shared" si="188"/>
        <v>138</v>
      </c>
      <c r="T145" s="66">
        <f t="shared" si="189"/>
        <v>12</v>
      </c>
      <c r="U145" s="65">
        <v>20220106</v>
      </c>
      <c r="V145" s="70">
        <v>30.3736</v>
      </c>
      <c r="W145" s="74">
        <f t="shared" si="161"/>
        <v>0.91049999999999998</v>
      </c>
      <c r="X145" s="70" cm="1">
        <f t="array" ref="X145">IF(U145="","",INDEX(STEP!$C:$C,MATCH('Position Control'!M145&amp;'Position Control'!P145,STEP!$A:$A&amp;STEP!$B:$B,0)))</f>
        <v>31.284800000000001</v>
      </c>
      <c r="Y145" s="74">
        <f t="shared" si="190"/>
        <v>8.9499999999999996E-2</v>
      </c>
      <c r="Z145" s="1">
        <v>7704</v>
      </c>
      <c r="AA145" s="112">
        <f>VLOOKUP(Z145,'WRK COMP'!$A$1:$E$17,5,FALSE)</f>
        <v>1.2449999999999999E-2</v>
      </c>
      <c r="AB145" s="76" t="s">
        <v>13</v>
      </c>
      <c r="AC145" s="68">
        <v>0</v>
      </c>
      <c r="AD145" s="209">
        <v>125</v>
      </c>
      <c r="AE145" s="209">
        <v>0</v>
      </c>
      <c r="AF145" s="209">
        <v>0</v>
      </c>
      <c r="AG145" s="209">
        <v>50</v>
      </c>
      <c r="AH145" s="68">
        <v>0</v>
      </c>
      <c r="AI145" s="68">
        <v>0</v>
      </c>
      <c r="AJ145" s="10" t="s">
        <v>61</v>
      </c>
      <c r="AK145" s="10" t="s">
        <v>81</v>
      </c>
      <c r="AL145" s="10" t="s">
        <v>49</v>
      </c>
      <c r="AM145" s="78">
        <f>IF(F145&gt;0.79,IF(ROUNDUP(IF(B145="FS",(V145*HRS!$B$9),(V145*HRS!$L$2))*2,-3)&gt;150000,150000,(ROUNDUP(IF(B145="FS",(V145*HRS!$B$9),(V145*HRS!$L$2))*2,-3))),0)</f>
        <v>150000</v>
      </c>
      <c r="AN145" s="188">
        <f t="shared" si="191"/>
        <v>87343</v>
      </c>
      <c r="AO145" s="77">
        <f>IF(L145="N",IF(B145="FS",ROUNDUP($V145*HRS!$B$9*'Position Control'!F145,0),ROUNDUP('Position Control'!$V145*HRS!$L$2*'Position Control'!F145,0)),IF('Position Control'!B145="FS",ROUNDUP(('Position Control'!V145*HRS!$B$9*'Position Control'!W145*'Position Control'!F145)+('Position Control'!X145*HRS!$B$9*'Position Control'!Y145*'Position Control'!F145),0),ROUNDUP(('Position Control'!V145*HRS!$L$2*'Position Control'!W145*'Position Control'!F145)+('Position Control'!X145*HRS!$L$2*'Position Control'!Y145*'Position Control'!F145),0)))*'Position Control'!H145</f>
        <v>83143</v>
      </c>
      <c r="AP145" s="77">
        <f t="shared" si="192"/>
        <v>0</v>
      </c>
      <c r="AQ145" s="77">
        <f t="shared" si="193"/>
        <v>3000</v>
      </c>
      <c r="AR145" s="77">
        <f t="shared" si="194"/>
        <v>1200</v>
      </c>
      <c r="AS145" s="77">
        <v>0</v>
      </c>
      <c r="AT145" s="79">
        <f t="shared" si="195"/>
        <v>0</v>
      </c>
      <c r="AU145" s="77">
        <f t="shared" si="196"/>
        <v>0</v>
      </c>
      <c r="AV145" s="77">
        <v>0</v>
      </c>
      <c r="AW145" s="77">
        <f t="shared" si="197"/>
        <v>0</v>
      </c>
      <c r="AX145" s="77">
        <f t="shared" si="198"/>
        <v>0</v>
      </c>
      <c r="AY145" s="77">
        <f t="shared" si="199"/>
        <v>0</v>
      </c>
      <c r="AZ145" s="77">
        <f t="shared" si="200"/>
        <v>0</v>
      </c>
      <c r="BA145" s="77">
        <f t="shared" si="201"/>
        <v>0</v>
      </c>
      <c r="BB145" s="77">
        <f t="shared" si="202"/>
        <v>0</v>
      </c>
      <c r="BC145" s="77">
        <f t="shared" si="186"/>
        <v>0</v>
      </c>
      <c r="BD145" s="77">
        <f t="shared" si="214"/>
        <v>690</v>
      </c>
      <c r="BE145" s="77">
        <f t="shared" si="203"/>
        <v>6860</v>
      </c>
      <c r="BF145" s="77">
        <f t="shared" si="204"/>
        <v>180</v>
      </c>
      <c r="BG145" s="77">
        <f>VLOOKUP($AJ145,BENE!$I$2:$N$9,6,FALSE)*'Position Control'!$H145</f>
        <v>311</v>
      </c>
      <c r="BH145" s="77">
        <f>VLOOKUP($AK145,BENE!$A$2:$F$19,6,FALSE)*'Position Control'!$H145</f>
        <v>11050</v>
      </c>
      <c r="BI145" s="77">
        <f>VLOOKUP($AK145,BENE!$A$2:$G$19,7,FALSE)*'Position Control'!$H145</f>
        <v>0</v>
      </c>
      <c r="BJ145" s="77">
        <f>VLOOKUP($AL145,BENE!$P$2:$S$6,4,FALSE)*'Position Control'!$H145</f>
        <v>0</v>
      </c>
      <c r="BK145" s="77">
        <f>IF($F145&gt;HRS!$H$2,ROUNDUP(((($AN145+$BE145)*$BK$3)/12*9)+(($AN145+$BE145)*HRS!$B$10/12*3),0),0)*$H145</f>
        <v>15883</v>
      </c>
      <c r="BL145" s="80">
        <f t="shared" si="205"/>
        <v>1088</v>
      </c>
      <c r="BM145" s="77">
        <f t="shared" si="206"/>
        <v>144</v>
      </c>
      <c r="BN145" s="77">
        <f t="shared" si="207"/>
        <v>1267</v>
      </c>
      <c r="BO145" s="77">
        <f t="shared" si="208"/>
        <v>157</v>
      </c>
      <c r="BP145" s="77">
        <f t="shared" si="209"/>
        <v>1000</v>
      </c>
      <c r="BQ145" s="77">
        <v>0</v>
      </c>
      <c r="BR145" s="80">
        <f t="shared" si="210"/>
        <v>125973</v>
      </c>
    </row>
    <row r="146" spans="1:70" outlineLevel="1" x14ac:dyDescent="0.35">
      <c r="A146" s="1" t="s">
        <v>6</v>
      </c>
      <c r="B146" s="1" t="s">
        <v>156</v>
      </c>
      <c r="C146" s="1" t="s">
        <v>8</v>
      </c>
      <c r="D146" s="1" t="s">
        <v>140</v>
      </c>
      <c r="E146" s="1" t="s">
        <v>89</v>
      </c>
      <c r="F146" s="2">
        <v>1</v>
      </c>
      <c r="G146" s="66">
        <v>1</v>
      </c>
      <c r="H146" s="66">
        <v>1</v>
      </c>
      <c r="I146" s="1" t="s">
        <v>611</v>
      </c>
      <c r="J146" s="1" t="s">
        <v>612</v>
      </c>
      <c r="K146" s="1" t="s">
        <v>180</v>
      </c>
      <c r="L146" s="76" t="str">
        <f>IF(M146="","N",STEP!$J$22)</f>
        <v>Y</v>
      </c>
      <c r="M146" s="1" t="s">
        <v>163</v>
      </c>
      <c r="N146" s="1" t="s">
        <v>164</v>
      </c>
      <c r="O146" s="1">
        <v>2</v>
      </c>
      <c r="P146" s="1">
        <v>3</v>
      </c>
      <c r="Q146" s="185">
        <v>20100331</v>
      </c>
      <c r="R146" s="196">
        <v>40268</v>
      </c>
      <c r="S146" s="197">
        <f t="shared" si="188"/>
        <v>149</v>
      </c>
      <c r="T146" s="66">
        <f t="shared" si="189"/>
        <v>13</v>
      </c>
      <c r="U146" s="65">
        <v>20220918</v>
      </c>
      <c r="V146" s="70">
        <v>29.488900000000001</v>
      </c>
      <c r="W146" s="74">
        <f t="shared" si="161"/>
        <v>0.99170000000000003</v>
      </c>
      <c r="X146" s="70" cm="1">
        <f t="array" ref="X146">IF(U146="","",INDEX(STEP!$C:$C,MATCH('Position Control'!M146&amp;'Position Control'!P146,STEP!$A:$A&amp;STEP!$B:$B,0)))</f>
        <v>30.3736</v>
      </c>
      <c r="Y146" s="74">
        <f t="shared" si="190"/>
        <v>8.3000000000000001E-3</v>
      </c>
      <c r="Z146" s="1">
        <v>7704</v>
      </c>
      <c r="AA146" s="112">
        <f>VLOOKUP(Z146,'WRK COMP'!$A$1:$E$17,5,FALSE)</f>
        <v>1.2449999999999999E-2</v>
      </c>
      <c r="AB146" s="76" t="s">
        <v>13</v>
      </c>
      <c r="AC146" s="68">
        <v>0</v>
      </c>
      <c r="AD146" s="209">
        <v>12.5</v>
      </c>
      <c r="AE146" s="209">
        <v>50</v>
      </c>
      <c r="AF146" s="209">
        <v>0</v>
      </c>
      <c r="AG146" s="209">
        <v>50</v>
      </c>
      <c r="AH146" s="68">
        <v>0</v>
      </c>
      <c r="AI146" s="68">
        <v>0</v>
      </c>
      <c r="AJ146" s="9" t="s">
        <v>49</v>
      </c>
      <c r="AK146" s="10" t="s">
        <v>49</v>
      </c>
      <c r="AL146" s="10" t="s">
        <v>16</v>
      </c>
      <c r="AM146" s="78">
        <f>IF(F146&gt;0.79,IF(ROUNDUP(IF(B146="FS",(V146*HRS!$B$9),(V146*HRS!$L$2))*2,-3)&gt;150000,150000,(ROUNDUP(IF(B146="FS",(V146*HRS!$B$9),(V146*HRS!$L$2))*2,-3))),0)</f>
        <v>150000</v>
      </c>
      <c r="AN146" s="188">
        <f t="shared" si="191"/>
        <v>83225</v>
      </c>
      <c r="AO146" s="77">
        <f>IF(L146="N",IF(B146="FS",ROUNDUP($V146*HRS!$B$9*'Position Control'!F146,0),ROUNDUP('Position Control'!$V146*HRS!$L$2*'Position Control'!F146,0)),IF('Position Control'!B146="FS",ROUNDUP(('Position Control'!V146*HRS!$B$9*'Position Control'!W146*'Position Control'!F146)+('Position Control'!X146*HRS!$B$9*'Position Control'!Y146*'Position Control'!F146),0),ROUNDUP(('Position Control'!V146*HRS!$L$2*'Position Control'!W146*'Position Control'!F146)+('Position Control'!X146*HRS!$L$2*'Position Control'!Y146*'Position Control'!F146),0)))*'Position Control'!H146</f>
        <v>80525</v>
      </c>
      <c r="AP146" s="77">
        <f t="shared" si="192"/>
        <v>0</v>
      </c>
      <c r="AQ146" s="77">
        <f t="shared" si="193"/>
        <v>300</v>
      </c>
      <c r="AR146" s="77">
        <f t="shared" si="194"/>
        <v>1200</v>
      </c>
      <c r="AS146" s="77">
        <v>0</v>
      </c>
      <c r="AT146" s="79">
        <f t="shared" si="195"/>
        <v>0</v>
      </c>
      <c r="AU146" s="77">
        <f t="shared" si="196"/>
        <v>0</v>
      </c>
      <c r="AV146" s="77">
        <v>0</v>
      </c>
      <c r="AW146" s="77">
        <f t="shared" si="197"/>
        <v>1200</v>
      </c>
      <c r="AX146" s="77">
        <f t="shared" si="198"/>
        <v>0</v>
      </c>
      <c r="AY146" s="77">
        <f t="shared" si="199"/>
        <v>0</v>
      </c>
      <c r="AZ146" s="77">
        <f t="shared" si="200"/>
        <v>0</v>
      </c>
      <c r="BA146" s="77">
        <f t="shared" si="201"/>
        <v>0</v>
      </c>
      <c r="BB146" s="77">
        <f t="shared" si="202"/>
        <v>0</v>
      </c>
      <c r="BC146" s="77">
        <f t="shared" si="186"/>
        <v>0</v>
      </c>
      <c r="BD146" s="77">
        <f t="shared" si="214"/>
        <v>745</v>
      </c>
      <c r="BE146" s="77">
        <f t="shared" si="203"/>
        <v>6640</v>
      </c>
      <c r="BF146" s="77">
        <f t="shared" si="204"/>
        <v>180</v>
      </c>
      <c r="BG146" s="77">
        <f>VLOOKUP($AJ146,BENE!$I$2:$N$9,6,FALSE)*'Position Control'!$H146</f>
        <v>0</v>
      </c>
      <c r="BH146" s="77">
        <f>VLOOKUP($AK146,BENE!$A$2:$F$19,6,FALSE)*'Position Control'!$H146</f>
        <v>0</v>
      </c>
      <c r="BI146" s="77">
        <f>VLOOKUP($AK146,BENE!$A$2:$G$19,7,FALSE)*'Position Control'!$H146</f>
        <v>0</v>
      </c>
      <c r="BJ146" s="77">
        <f>VLOOKUP($AL146,BENE!$P$2:$S$6,4,FALSE)*'Position Control'!$H146</f>
        <v>240</v>
      </c>
      <c r="BK146" s="77">
        <f>IF($F146&gt;HRS!$H$2,ROUNDUP(((($AN146+$BE146)*$BK$3)/12*9)+(($AN146+$BE146)*HRS!$B$10/12*3),0),0)*$H146</f>
        <v>15152</v>
      </c>
      <c r="BL146" s="80">
        <f t="shared" si="205"/>
        <v>1037</v>
      </c>
      <c r="BM146" s="77">
        <f t="shared" si="206"/>
        <v>144</v>
      </c>
      <c r="BN146" s="77">
        <f t="shared" si="207"/>
        <v>1207</v>
      </c>
      <c r="BO146" s="77">
        <f t="shared" si="208"/>
        <v>150</v>
      </c>
      <c r="BP146" s="77">
        <f t="shared" si="209"/>
        <v>1000</v>
      </c>
      <c r="BQ146" s="77">
        <v>0</v>
      </c>
      <c r="BR146" s="80">
        <f t="shared" si="210"/>
        <v>109720</v>
      </c>
    </row>
    <row r="147" spans="1:70" outlineLevel="1" x14ac:dyDescent="0.35">
      <c r="A147" s="1" t="s">
        <v>6</v>
      </c>
      <c r="B147" s="1" t="s">
        <v>156</v>
      </c>
      <c r="C147" s="1" t="s">
        <v>8</v>
      </c>
      <c r="D147" s="1" t="s">
        <v>140</v>
      </c>
      <c r="E147" s="1" t="s">
        <v>89</v>
      </c>
      <c r="F147" s="2">
        <v>1</v>
      </c>
      <c r="G147" s="66">
        <v>1</v>
      </c>
      <c r="H147" s="66">
        <v>1</v>
      </c>
      <c r="I147" s="1" t="s">
        <v>611</v>
      </c>
      <c r="J147" s="1" t="s">
        <v>612</v>
      </c>
      <c r="K147" s="1" t="s">
        <v>173</v>
      </c>
      <c r="L147" s="76" t="str">
        <f>IF(M147="","N",STEP!$J$22)</f>
        <v>Y</v>
      </c>
      <c r="M147" s="1" t="s">
        <v>161</v>
      </c>
      <c r="N147" s="1" t="s">
        <v>162</v>
      </c>
      <c r="O147" s="1">
        <v>7</v>
      </c>
      <c r="P147" s="1">
        <v>7</v>
      </c>
      <c r="Q147" s="185">
        <v>20040603</v>
      </c>
      <c r="R147" s="196">
        <v>38141</v>
      </c>
      <c r="S147" s="197">
        <f t="shared" si="188"/>
        <v>219</v>
      </c>
      <c r="T147" s="66">
        <f t="shared" si="189"/>
        <v>19</v>
      </c>
      <c r="U147" s="65">
        <v>20211007</v>
      </c>
      <c r="V147" s="70">
        <v>28.3292</v>
      </c>
      <c r="W147" s="74">
        <f t="shared" si="161"/>
        <v>6.0000000000004494E-4</v>
      </c>
      <c r="X147" s="70" cm="1">
        <f t="array" ref="X147">IF(U147="","",INDEX(STEP!$C:$C,MATCH('Position Control'!M147&amp;'Position Control'!P147,STEP!$A:$A&amp;STEP!$B:$B,0)))</f>
        <v>28.3292</v>
      </c>
      <c r="Y147" s="74">
        <f t="shared" si="190"/>
        <v>0.99939999999999996</v>
      </c>
      <c r="Z147" s="1">
        <v>7704</v>
      </c>
      <c r="AA147" s="112">
        <f>VLOOKUP(Z147,'WRK COMP'!$A$1:$E$17,5,FALSE)</f>
        <v>1.2449999999999999E-2</v>
      </c>
      <c r="AB147" s="76" t="s">
        <v>13</v>
      </c>
      <c r="AC147" s="68">
        <v>0</v>
      </c>
      <c r="AD147" s="209">
        <v>87.5</v>
      </c>
      <c r="AE147" s="209">
        <v>50</v>
      </c>
      <c r="AF147" s="209">
        <v>0</v>
      </c>
      <c r="AG147" s="209">
        <v>50</v>
      </c>
      <c r="AH147" s="68">
        <v>0</v>
      </c>
      <c r="AI147" s="68">
        <v>0</v>
      </c>
      <c r="AJ147" s="10" t="s">
        <v>18</v>
      </c>
      <c r="AK147" s="10" t="s">
        <v>126</v>
      </c>
      <c r="AL147" s="10" t="s">
        <v>58</v>
      </c>
      <c r="AM147" s="78">
        <f>IF(F147&gt;0.79,IF(ROUNDUP(IF(B147="FS",(V147*HRS!$B$9),(V147*HRS!$L$2))*2,-3)&gt;150000,150000,(ROUNDUP(IF(B147="FS",(V147*HRS!$B$9),(V147*HRS!$L$2))*2,-3))),0)</f>
        <v>150000</v>
      </c>
      <c r="AN147" s="188">
        <f t="shared" ref="AN147:AN171" si="215">SUM(AO147:BB147)</f>
        <v>81839</v>
      </c>
      <c r="AO147" s="77">
        <f>IF(L147="N",IF(B147="FS",ROUNDUP($V147*HRS!$B$9*'Position Control'!F147,0),ROUNDUP('Position Control'!$V147*HRS!$L$2*'Position Control'!F147,0)),IF('Position Control'!B147="FS",ROUNDUP(('Position Control'!V147*HRS!$B$9*'Position Control'!W147*'Position Control'!F147)+('Position Control'!X147*HRS!$B$9*'Position Control'!Y147*'Position Control'!F147),0),ROUNDUP(('Position Control'!V147*HRS!$L$2*'Position Control'!W147*'Position Control'!F147)+('Position Control'!X147*HRS!$L$2*'Position Control'!Y147*'Position Control'!F147),0)))*'Position Control'!H147</f>
        <v>77339</v>
      </c>
      <c r="AP147" s="77">
        <f t="shared" si="192"/>
        <v>0</v>
      </c>
      <c r="AQ147" s="77">
        <f t="shared" si="193"/>
        <v>2100</v>
      </c>
      <c r="AR147" s="77">
        <f t="shared" si="194"/>
        <v>1200</v>
      </c>
      <c r="AS147" s="77">
        <v>0</v>
      </c>
      <c r="AT147" s="79">
        <f t="shared" si="195"/>
        <v>0</v>
      </c>
      <c r="AU147" s="77">
        <f t="shared" si="196"/>
        <v>0</v>
      </c>
      <c r="AV147" s="77">
        <v>0</v>
      </c>
      <c r="AW147" s="77">
        <f t="shared" si="197"/>
        <v>1200</v>
      </c>
      <c r="AX147" s="77">
        <f t="shared" si="198"/>
        <v>0</v>
      </c>
      <c r="AY147" s="77">
        <f t="shared" si="199"/>
        <v>0</v>
      </c>
      <c r="AZ147" s="77">
        <f t="shared" si="200"/>
        <v>0</v>
      </c>
      <c r="BA147" s="77">
        <f t="shared" si="201"/>
        <v>0</v>
      </c>
      <c r="BB147" s="77">
        <f t="shared" si="202"/>
        <v>0</v>
      </c>
      <c r="BC147" s="77">
        <f t="shared" si="186"/>
        <v>0</v>
      </c>
      <c r="BD147" s="77">
        <f t="shared" si="214"/>
        <v>1095</v>
      </c>
      <c r="BE147" s="77">
        <f t="shared" ref="BE147:BE170" si="216">ROUNDUP(((V147*1.5*5*30)*W147)+((X147*1.5*5*30)*Y147),-1)</f>
        <v>6380</v>
      </c>
      <c r="BF147" s="77">
        <f t="shared" si="204"/>
        <v>180</v>
      </c>
      <c r="BG147" s="77">
        <f>VLOOKUP($AJ147,BENE!$I$2:$N$9,6,FALSE)*'Position Control'!$H147</f>
        <v>760</v>
      </c>
      <c r="BH147" s="77">
        <f>VLOOKUP($AK147,BENE!$A$2:$F$19,6,FALSE)*'Position Control'!$H147</f>
        <v>17738</v>
      </c>
      <c r="BI147" s="77">
        <f>VLOOKUP($AK147,BENE!$A$2:$G$19,7,FALSE)*'Position Control'!$H147</f>
        <v>1500</v>
      </c>
      <c r="BJ147" s="77">
        <f>VLOOKUP($AL147,BENE!$P$2:$S$6,4,FALSE)*'Position Control'!$H147</f>
        <v>444</v>
      </c>
      <c r="BK147" s="77">
        <f>IF($F147&gt;HRS!$H$2,ROUNDUP(((($AN147+$BE147)*$BK$3)/12*9)+(($AN147+$BE147)*HRS!$B$10/12*3),0),0)*$H147</f>
        <v>14874</v>
      </c>
      <c r="BL147" s="80">
        <f t="shared" si="205"/>
        <v>1019</v>
      </c>
      <c r="BM147" s="77">
        <f t="shared" si="206"/>
        <v>144</v>
      </c>
      <c r="BN147" s="77">
        <f t="shared" si="207"/>
        <v>1187</v>
      </c>
      <c r="BO147" s="77">
        <f t="shared" si="208"/>
        <v>147</v>
      </c>
      <c r="BP147" s="77">
        <f t="shared" si="209"/>
        <v>1500</v>
      </c>
      <c r="BQ147" s="77">
        <v>0</v>
      </c>
      <c r="BR147" s="80">
        <f t="shared" ref="BR147:BR171" si="217">SUM(AO147:AW147)+SUM(BC147:BQ147)</f>
        <v>128807</v>
      </c>
    </row>
    <row r="148" spans="1:70" outlineLevel="1" x14ac:dyDescent="0.35">
      <c r="A148" s="1" t="s">
        <v>6</v>
      </c>
      <c r="B148" s="1" t="s">
        <v>156</v>
      </c>
      <c r="C148" s="1" t="s">
        <v>8</v>
      </c>
      <c r="D148" s="1" t="s">
        <v>140</v>
      </c>
      <c r="E148" s="1" t="s">
        <v>89</v>
      </c>
      <c r="F148" s="2">
        <v>1</v>
      </c>
      <c r="G148" s="66">
        <v>1</v>
      </c>
      <c r="H148" s="66">
        <v>1</v>
      </c>
      <c r="I148" s="1" t="s">
        <v>611</v>
      </c>
      <c r="J148" s="1" t="s">
        <v>612</v>
      </c>
      <c r="K148" s="1" t="s">
        <v>176</v>
      </c>
      <c r="L148" s="76" t="str">
        <f>IF(M148="","N",STEP!$J$22)</f>
        <v>Y</v>
      </c>
      <c r="M148" s="1" t="s">
        <v>161</v>
      </c>
      <c r="N148" s="1" t="s">
        <v>162</v>
      </c>
      <c r="O148" s="1">
        <v>3</v>
      </c>
      <c r="P148" s="1">
        <v>4</v>
      </c>
      <c r="Q148" s="185">
        <v>20181119</v>
      </c>
      <c r="R148" s="196">
        <v>43423</v>
      </c>
      <c r="S148" s="197">
        <f t="shared" si="188"/>
        <v>46</v>
      </c>
      <c r="T148" s="66">
        <f t="shared" si="189"/>
        <v>4</v>
      </c>
      <c r="U148" s="65">
        <v>20220321</v>
      </c>
      <c r="V148" s="70">
        <v>24.450199999999999</v>
      </c>
      <c r="W148" s="74">
        <f t="shared" si="161"/>
        <v>0.93199999999999994</v>
      </c>
      <c r="X148" s="70" cm="1">
        <f t="array" ref="X148">IF(U148="","",INDEX(STEP!$C:$C,MATCH('Position Control'!M148&amp;'Position Control'!P148,STEP!$A:$A&amp;STEP!$B:$B,0)))</f>
        <v>25.367100000000001</v>
      </c>
      <c r="Y148" s="74">
        <f t="shared" si="190"/>
        <v>6.8000000000000005E-2</v>
      </c>
      <c r="Z148" s="1">
        <v>7704</v>
      </c>
      <c r="AA148" s="112">
        <f>VLOOKUP(Z148,'WRK COMP'!$A$1:$E$17,5,FALSE)</f>
        <v>1.2449999999999999E-2</v>
      </c>
      <c r="AB148" s="76" t="s">
        <v>13</v>
      </c>
      <c r="AC148" s="68">
        <v>0</v>
      </c>
      <c r="AD148" s="209">
        <v>0</v>
      </c>
      <c r="AE148" s="209">
        <v>0</v>
      </c>
      <c r="AF148" s="209">
        <v>0</v>
      </c>
      <c r="AG148" s="209">
        <v>50</v>
      </c>
      <c r="AH148" s="68">
        <v>0</v>
      </c>
      <c r="AI148" s="68">
        <v>0</v>
      </c>
      <c r="AJ148" s="10" t="s">
        <v>14</v>
      </c>
      <c r="AK148" s="10" t="s">
        <v>43</v>
      </c>
      <c r="AL148" s="10" t="s">
        <v>49</v>
      </c>
      <c r="AM148" s="78">
        <f>IF(F148&gt;0.79,IF(ROUNDUP(IF(B148="FS",(V148*HRS!$B$9),(V148*HRS!$L$2))*2,-3)&gt;150000,150000,(ROUNDUP(IF(B148="FS",(V148*HRS!$B$9),(V148*HRS!$L$2))*2,-3))),0)</f>
        <v>134000</v>
      </c>
      <c r="AN148" s="188">
        <f t="shared" si="215"/>
        <v>68120</v>
      </c>
      <c r="AO148" s="77">
        <f>IF(L148="N",IF(B148="FS",ROUNDUP($V148*HRS!$B$9*'Position Control'!F148,0),ROUNDUP('Position Control'!$V148*HRS!$L$2*'Position Control'!F148,0)),IF('Position Control'!B148="FS",ROUNDUP(('Position Control'!V148*HRS!$B$9*'Position Control'!W148*'Position Control'!F148)+('Position Control'!X148*HRS!$B$9*'Position Control'!Y148*'Position Control'!F148),0),ROUNDUP(('Position Control'!V148*HRS!$L$2*'Position Control'!W148*'Position Control'!F148)+('Position Control'!X148*HRS!$L$2*'Position Control'!Y148*'Position Control'!F148),0)))*'Position Control'!H148</f>
        <v>66920</v>
      </c>
      <c r="AP148" s="77">
        <f t="shared" si="192"/>
        <v>0</v>
      </c>
      <c r="AQ148" s="77">
        <f t="shared" si="193"/>
        <v>0</v>
      </c>
      <c r="AR148" s="77">
        <f t="shared" si="194"/>
        <v>1200</v>
      </c>
      <c r="AS148" s="77">
        <v>0</v>
      </c>
      <c r="AT148" s="79">
        <f t="shared" si="195"/>
        <v>0</v>
      </c>
      <c r="AU148" s="77">
        <f t="shared" si="196"/>
        <v>0</v>
      </c>
      <c r="AV148" s="77">
        <v>0</v>
      </c>
      <c r="AW148" s="77">
        <f t="shared" si="197"/>
        <v>0</v>
      </c>
      <c r="AX148" s="77">
        <f t="shared" si="198"/>
        <v>0</v>
      </c>
      <c r="AY148" s="77">
        <f t="shared" si="199"/>
        <v>0</v>
      </c>
      <c r="AZ148" s="77">
        <f t="shared" si="200"/>
        <v>0</v>
      </c>
      <c r="BA148" s="77">
        <f t="shared" si="201"/>
        <v>0</v>
      </c>
      <c r="BB148" s="77">
        <f t="shared" si="202"/>
        <v>0</v>
      </c>
      <c r="BC148" s="77">
        <f t="shared" si="186"/>
        <v>0</v>
      </c>
      <c r="BD148" s="77">
        <f t="shared" si="214"/>
        <v>230</v>
      </c>
      <c r="BE148" s="77">
        <f t="shared" si="216"/>
        <v>5520</v>
      </c>
      <c r="BF148" s="77">
        <f t="shared" si="204"/>
        <v>160.80000000000001</v>
      </c>
      <c r="BG148" s="77">
        <f>VLOOKUP($AJ148,BENE!$I$2:$N$9,6,FALSE)*'Position Control'!$H148</f>
        <v>389</v>
      </c>
      <c r="BH148" s="77">
        <f>VLOOKUP($AK148,BENE!$A$2:$F$19,6,FALSE)*'Position Control'!$H148</f>
        <v>6870</v>
      </c>
      <c r="BI148" s="77">
        <f>VLOOKUP($AK148,BENE!$A$2:$G$19,7,FALSE)*'Position Control'!$H148</f>
        <v>0</v>
      </c>
      <c r="BJ148" s="77">
        <f>VLOOKUP($AL148,BENE!$P$2:$S$6,4,FALSE)*'Position Control'!$H148</f>
        <v>0</v>
      </c>
      <c r="BK148" s="77">
        <f>IF($F148&gt;HRS!$H$2,ROUNDUP(((($AN148+$BE148)*$BK$3)/12*9)+(($AN148+$BE148)*HRS!$B$10/12*3),0),0)*$H148</f>
        <v>12416</v>
      </c>
      <c r="BL148" s="80">
        <f t="shared" si="205"/>
        <v>849</v>
      </c>
      <c r="BM148" s="77">
        <f t="shared" si="206"/>
        <v>144</v>
      </c>
      <c r="BN148" s="77">
        <f t="shared" si="207"/>
        <v>988</v>
      </c>
      <c r="BO148" s="77">
        <f t="shared" si="208"/>
        <v>123</v>
      </c>
      <c r="BP148" s="77">
        <f t="shared" si="209"/>
        <v>0</v>
      </c>
      <c r="BQ148" s="77">
        <v>0</v>
      </c>
      <c r="BR148" s="80">
        <f t="shared" si="217"/>
        <v>95809.8</v>
      </c>
    </row>
    <row r="149" spans="1:70" outlineLevel="1" x14ac:dyDescent="0.35">
      <c r="A149" s="1" t="s">
        <v>6</v>
      </c>
      <c r="B149" s="1" t="s">
        <v>156</v>
      </c>
      <c r="C149" s="1" t="s">
        <v>8</v>
      </c>
      <c r="D149" s="1" t="s">
        <v>140</v>
      </c>
      <c r="E149" s="1" t="s">
        <v>89</v>
      </c>
      <c r="F149" s="2">
        <v>1</v>
      </c>
      <c r="G149" s="66">
        <v>1</v>
      </c>
      <c r="H149" s="66">
        <v>1</v>
      </c>
      <c r="I149" s="1" t="s">
        <v>611</v>
      </c>
      <c r="J149" s="1" t="s">
        <v>612</v>
      </c>
      <c r="K149" s="1" t="s">
        <v>182</v>
      </c>
      <c r="L149" s="76" t="str">
        <f>IF(M149="","N",STEP!$J$22)</f>
        <v>Y</v>
      </c>
      <c r="M149" s="1" t="s">
        <v>161</v>
      </c>
      <c r="N149" s="1" t="s">
        <v>162</v>
      </c>
      <c r="O149" s="1">
        <v>2</v>
      </c>
      <c r="P149" s="1">
        <v>3</v>
      </c>
      <c r="Q149" s="185">
        <v>20200106</v>
      </c>
      <c r="R149" s="196">
        <v>43836</v>
      </c>
      <c r="S149" s="197">
        <f t="shared" si="188"/>
        <v>32</v>
      </c>
      <c r="T149" s="66">
        <f t="shared" si="189"/>
        <v>3</v>
      </c>
      <c r="U149" s="65">
        <v>20211016</v>
      </c>
      <c r="V149" s="70">
        <v>23.566500000000001</v>
      </c>
      <c r="W149" s="74">
        <f t="shared" si="161"/>
        <v>1.4999999999999458E-3</v>
      </c>
      <c r="X149" s="70" cm="1">
        <f t="array" ref="X149">IF(U149="","",INDEX(STEP!$C:$C,MATCH('Position Control'!M149&amp;'Position Control'!P149,STEP!$A:$A&amp;STEP!$B:$B,0)))</f>
        <v>24.450199999999999</v>
      </c>
      <c r="Y149" s="74">
        <f t="shared" si="190"/>
        <v>0.99850000000000005</v>
      </c>
      <c r="Z149" s="1">
        <v>7704</v>
      </c>
      <c r="AA149" s="112">
        <f>VLOOKUP(Z149,'WRK COMP'!$A$1:$E$17,5,FALSE)</f>
        <v>1.2449999999999999E-2</v>
      </c>
      <c r="AB149" s="76" t="s">
        <v>13</v>
      </c>
      <c r="AC149" s="68">
        <v>0</v>
      </c>
      <c r="AD149" s="209">
        <v>25</v>
      </c>
      <c r="AE149" s="209">
        <v>0</v>
      </c>
      <c r="AF149" s="209">
        <v>0</v>
      </c>
      <c r="AG149" s="209">
        <v>50</v>
      </c>
      <c r="AH149" s="68">
        <v>0</v>
      </c>
      <c r="AI149" s="68">
        <v>0</v>
      </c>
      <c r="AJ149" s="10" t="s">
        <v>18</v>
      </c>
      <c r="AK149" s="10" t="s">
        <v>19</v>
      </c>
      <c r="AL149" s="10" t="s">
        <v>49</v>
      </c>
      <c r="AM149" s="78">
        <f>IF(F149&gt;0.79,IF(ROUNDUP(IF(B149="FS",(V149*HRS!$B$9),(V149*HRS!$L$2))*2,-3)&gt;150000,150000,(ROUNDUP(IF(B149="FS",(V149*HRS!$B$9),(V149*HRS!$L$2))*2,-3))),0)</f>
        <v>129000</v>
      </c>
      <c r="AN149" s="188">
        <f t="shared" si="215"/>
        <v>68546</v>
      </c>
      <c r="AO149" s="77">
        <f>IF(L149="N",IF(B149="FS",ROUNDUP($V149*HRS!$B$9*'Position Control'!F149,0),ROUNDUP('Position Control'!$V149*HRS!$L$2*'Position Control'!F149,0)),IF('Position Control'!B149="FS",ROUNDUP(('Position Control'!V149*HRS!$B$9*'Position Control'!W149*'Position Control'!F149)+('Position Control'!X149*HRS!$B$9*'Position Control'!Y149*'Position Control'!F149),0),ROUNDUP(('Position Control'!V149*HRS!$L$2*'Position Control'!W149*'Position Control'!F149)+('Position Control'!X149*HRS!$L$2*'Position Control'!Y149*'Position Control'!F149),0)))*'Position Control'!H149</f>
        <v>66746</v>
      </c>
      <c r="AP149" s="77">
        <f t="shared" si="192"/>
        <v>0</v>
      </c>
      <c r="AQ149" s="77">
        <f t="shared" si="193"/>
        <v>600</v>
      </c>
      <c r="AR149" s="77">
        <f t="shared" si="194"/>
        <v>1200</v>
      </c>
      <c r="AS149" s="77">
        <v>0</v>
      </c>
      <c r="AT149" s="79">
        <f t="shared" si="195"/>
        <v>0</v>
      </c>
      <c r="AU149" s="77">
        <f t="shared" si="196"/>
        <v>0</v>
      </c>
      <c r="AV149" s="77">
        <v>0</v>
      </c>
      <c r="AW149" s="77">
        <f t="shared" si="197"/>
        <v>0</v>
      </c>
      <c r="AX149" s="77">
        <f t="shared" si="198"/>
        <v>0</v>
      </c>
      <c r="AY149" s="77">
        <f t="shared" si="199"/>
        <v>0</v>
      </c>
      <c r="AZ149" s="77">
        <f t="shared" si="200"/>
        <v>0</v>
      </c>
      <c r="BA149" s="77">
        <f t="shared" si="201"/>
        <v>0</v>
      </c>
      <c r="BB149" s="77">
        <f t="shared" si="202"/>
        <v>0</v>
      </c>
      <c r="BC149" s="77">
        <f t="shared" si="186"/>
        <v>0</v>
      </c>
      <c r="BD149" s="77">
        <f t="shared" si="214"/>
        <v>160</v>
      </c>
      <c r="BE149" s="77">
        <f t="shared" si="216"/>
        <v>5510</v>
      </c>
      <c r="BF149" s="77">
        <f t="shared" si="204"/>
        <v>154.80000000000001</v>
      </c>
      <c r="BG149" s="77">
        <f>VLOOKUP($AJ149,BENE!$I$2:$N$9,6,FALSE)*'Position Control'!$H149</f>
        <v>760</v>
      </c>
      <c r="BH149" s="77">
        <f>VLOOKUP($AK149,BENE!$A$2:$F$19,6,FALSE)*'Position Control'!$H149</f>
        <v>20439</v>
      </c>
      <c r="BI149" s="77">
        <f>VLOOKUP($AK149,BENE!$A$2:$G$19,7,FALSE)*'Position Control'!$H149</f>
        <v>0</v>
      </c>
      <c r="BJ149" s="77">
        <f>VLOOKUP($AL149,BENE!$P$2:$S$6,4,FALSE)*'Position Control'!$H149</f>
        <v>0</v>
      </c>
      <c r="BK149" s="77">
        <f>IF($F149&gt;HRS!$H$2,ROUNDUP(((($AN149+$BE149)*$BK$3)/12*9)+(($AN149+$BE149)*HRS!$B$10/12*3),0),0)*$H149</f>
        <v>12486</v>
      </c>
      <c r="BL149" s="80">
        <f t="shared" si="205"/>
        <v>854</v>
      </c>
      <c r="BM149" s="77">
        <f t="shared" si="206"/>
        <v>144</v>
      </c>
      <c r="BN149" s="77">
        <f t="shared" si="207"/>
        <v>994</v>
      </c>
      <c r="BO149" s="77">
        <f t="shared" si="208"/>
        <v>123</v>
      </c>
      <c r="BP149" s="77">
        <f t="shared" si="209"/>
        <v>0</v>
      </c>
      <c r="BQ149" s="77">
        <v>0</v>
      </c>
      <c r="BR149" s="80">
        <f t="shared" si="217"/>
        <v>110170.8</v>
      </c>
    </row>
    <row r="150" spans="1:70" outlineLevel="1" x14ac:dyDescent="0.35">
      <c r="A150" s="1" t="s">
        <v>6</v>
      </c>
      <c r="B150" s="1" t="s">
        <v>156</v>
      </c>
      <c r="C150" s="1" t="s">
        <v>8</v>
      </c>
      <c r="D150" s="1" t="s">
        <v>140</v>
      </c>
      <c r="E150" s="1" t="s">
        <v>89</v>
      </c>
      <c r="F150" s="2">
        <v>1</v>
      </c>
      <c r="G150" s="66">
        <v>1</v>
      </c>
      <c r="H150" s="66">
        <v>1</v>
      </c>
      <c r="I150" s="1" t="s">
        <v>611</v>
      </c>
      <c r="J150" s="1" t="s">
        <v>612</v>
      </c>
      <c r="K150" s="1" t="s">
        <v>177</v>
      </c>
      <c r="L150" s="76" t="str">
        <f>IF(M150="","N",STEP!$J$22)</f>
        <v>Y</v>
      </c>
      <c r="M150" s="1" t="s">
        <v>161</v>
      </c>
      <c r="N150" s="1" t="s">
        <v>162</v>
      </c>
      <c r="O150" s="1">
        <v>7</v>
      </c>
      <c r="P150" s="1">
        <v>7</v>
      </c>
      <c r="Q150" s="185">
        <v>20160307</v>
      </c>
      <c r="R150" s="196">
        <v>42436</v>
      </c>
      <c r="S150" s="197">
        <f t="shared" si="188"/>
        <v>78</v>
      </c>
      <c r="T150" s="66">
        <f t="shared" si="189"/>
        <v>7</v>
      </c>
      <c r="U150" s="65">
        <v>20211102</v>
      </c>
      <c r="V150" s="70">
        <v>28.3292</v>
      </c>
      <c r="W150" s="74">
        <f t="shared" si="161"/>
        <v>1.0099999999999998E-2</v>
      </c>
      <c r="X150" s="70" cm="1">
        <f t="array" ref="X150">IF(U150="","",INDEX(STEP!$C:$C,MATCH('Position Control'!M150&amp;'Position Control'!P150,STEP!$A:$A&amp;STEP!$B:$B,0)))</f>
        <v>28.3292</v>
      </c>
      <c r="Y150" s="74">
        <f t="shared" si="190"/>
        <v>0.9899</v>
      </c>
      <c r="Z150" s="1">
        <v>7704</v>
      </c>
      <c r="AA150" s="112">
        <f>VLOOKUP(Z150,'WRK COMP'!$A$1:$E$17,5,FALSE)</f>
        <v>1.2449999999999999E-2</v>
      </c>
      <c r="AB150" s="76" t="s">
        <v>13</v>
      </c>
      <c r="AC150" s="68">
        <v>0</v>
      </c>
      <c r="AD150" s="209">
        <v>50</v>
      </c>
      <c r="AE150" s="209">
        <v>0</v>
      </c>
      <c r="AF150" s="209">
        <v>0</v>
      </c>
      <c r="AG150" s="209">
        <v>50</v>
      </c>
      <c r="AH150" s="68">
        <v>0</v>
      </c>
      <c r="AI150" s="68">
        <v>0</v>
      </c>
      <c r="AJ150" s="10" t="s">
        <v>14</v>
      </c>
      <c r="AK150" s="10" t="s">
        <v>43</v>
      </c>
      <c r="AL150" s="10" t="s">
        <v>49</v>
      </c>
      <c r="AM150" s="78">
        <f>IF(F150&gt;0.79,IF(ROUNDUP(IF(B150="FS",(V150*HRS!$B$9),(V150*HRS!$L$2))*2,-3)&gt;150000,150000,(ROUNDUP(IF(B150="FS",(V150*HRS!$B$9),(V150*HRS!$L$2))*2,-3))),0)</f>
        <v>150000</v>
      </c>
      <c r="AN150" s="188">
        <f t="shared" si="215"/>
        <v>79739</v>
      </c>
      <c r="AO150" s="77">
        <f>IF(L150="N",IF(B150="FS",ROUNDUP($V150*HRS!$B$9*'Position Control'!F150,0),ROUNDUP('Position Control'!$V150*HRS!$L$2*'Position Control'!F150,0)),IF('Position Control'!B150="FS",ROUNDUP(('Position Control'!V150*HRS!$B$9*'Position Control'!W150*'Position Control'!F150)+('Position Control'!X150*HRS!$B$9*'Position Control'!Y150*'Position Control'!F150),0),ROUNDUP(('Position Control'!V150*HRS!$L$2*'Position Control'!W150*'Position Control'!F150)+('Position Control'!X150*HRS!$L$2*'Position Control'!Y150*'Position Control'!F150),0)))*'Position Control'!H150</f>
        <v>77339</v>
      </c>
      <c r="AP150" s="77">
        <f t="shared" si="192"/>
        <v>0</v>
      </c>
      <c r="AQ150" s="77">
        <f t="shared" si="193"/>
        <v>1200</v>
      </c>
      <c r="AR150" s="77">
        <f t="shared" si="194"/>
        <v>1200</v>
      </c>
      <c r="AS150" s="77">
        <v>0</v>
      </c>
      <c r="AT150" s="79">
        <f t="shared" si="195"/>
        <v>0</v>
      </c>
      <c r="AU150" s="77">
        <f t="shared" si="196"/>
        <v>0</v>
      </c>
      <c r="AV150" s="77">
        <v>0</v>
      </c>
      <c r="AW150" s="77">
        <f t="shared" si="197"/>
        <v>0</v>
      </c>
      <c r="AX150" s="77">
        <f t="shared" si="198"/>
        <v>0</v>
      </c>
      <c r="AY150" s="77">
        <f t="shared" si="199"/>
        <v>0</v>
      </c>
      <c r="AZ150" s="77">
        <f t="shared" si="200"/>
        <v>0</v>
      </c>
      <c r="BA150" s="77">
        <f t="shared" si="201"/>
        <v>0</v>
      </c>
      <c r="BB150" s="77">
        <f t="shared" si="202"/>
        <v>0</v>
      </c>
      <c r="BC150" s="77">
        <f t="shared" si="186"/>
        <v>0</v>
      </c>
      <c r="BD150" s="77">
        <f t="shared" si="214"/>
        <v>390</v>
      </c>
      <c r="BE150" s="77">
        <f t="shared" si="216"/>
        <v>6380</v>
      </c>
      <c r="BF150" s="77">
        <f t="shared" si="204"/>
        <v>180</v>
      </c>
      <c r="BG150" s="77">
        <f>VLOOKUP($AJ150,BENE!$I$2:$N$9,6,FALSE)*'Position Control'!$H150</f>
        <v>389</v>
      </c>
      <c r="BH150" s="77">
        <f>VLOOKUP($AK150,BENE!$A$2:$F$19,6,FALSE)*'Position Control'!$H150</f>
        <v>6870</v>
      </c>
      <c r="BI150" s="77">
        <f>VLOOKUP($AK150,BENE!$A$2:$G$19,7,FALSE)*'Position Control'!$H150</f>
        <v>0</v>
      </c>
      <c r="BJ150" s="77">
        <f>VLOOKUP($AL150,BENE!$P$2:$S$6,4,FALSE)*'Position Control'!$H150</f>
        <v>0</v>
      </c>
      <c r="BK150" s="77">
        <f>IF($F150&gt;HRS!$H$2,ROUNDUP(((($AN150+$BE150)*$BK$3)/12*9)+(($AN150+$BE150)*HRS!$B$10/12*3),0),0)*$H150</f>
        <v>14520</v>
      </c>
      <c r="BL150" s="80">
        <f t="shared" si="205"/>
        <v>993</v>
      </c>
      <c r="BM150" s="77">
        <f t="shared" si="206"/>
        <v>144</v>
      </c>
      <c r="BN150" s="77">
        <f t="shared" si="207"/>
        <v>1157</v>
      </c>
      <c r="BO150" s="77">
        <f t="shared" si="208"/>
        <v>144</v>
      </c>
      <c r="BP150" s="77">
        <f t="shared" si="209"/>
        <v>0</v>
      </c>
      <c r="BQ150" s="77">
        <v>0</v>
      </c>
      <c r="BR150" s="80">
        <f t="shared" si="217"/>
        <v>110906</v>
      </c>
    </row>
    <row r="151" spans="1:70" outlineLevel="1" x14ac:dyDescent="0.35">
      <c r="A151" s="1" t="s">
        <v>6</v>
      </c>
      <c r="B151" s="1" t="s">
        <v>156</v>
      </c>
      <c r="C151" s="1" t="s">
        <v>8</v>
      </c>
      <c r="D151" s="1" t="s">
        <v>140</v>
      </c>
      <c r="E151" s="1" t="s">
        <v>89</v>
      </c>
      <c r="F151" s="2">
        <v>1</v>
      </c>
      <c r="G151" s="66">
        <v>1</v>
      </c>
      <c r="H151" s="66">
        <v>1</v>
      </c>
      <c r="I151" s="1" t="s">
        <v>611</v>
      </c>
      <c r="J151" s="1" t="s">
        <v>612</v>
      </c>
      <c r="K151" s="1" t="s">
        <v>179</v>
      </c>
      <c r="L151" s="76" t="str">
        <f>IF(M151="","N",STEP!$J$22)</f>
        <v>Y</v>
      </c>
      <c r="M151" s="1" t="s">
        <v>161</v>
      </c>
      <c r="N151" s="1" t="s">
        <v>162</v>
      </c>
      <c r="O151" s="1">
        <v>4</v>
      </c>
      <c r="P151" s="1">
        <v>5</v>
      </c>
      <c r="Q151" s="185">
        <v>20180521</v>
      </c>
      <c r="R151" s="196">
        <v>43241</v>
      </c>
      <c r="S151" s="197">
        <f t="shared" si="188"/>
        <v>52</v>
      </c>
      <c r="T151" s="66">
        <f t="shared" si="189"/>
        <v>5</v>
      </c>
      <c r="U151" s="65">
        <v>20220120</v>
      </c>
      <c r="V151" s="70">
        <v>25.367100000000001</v>
      </c>
      <c r="W151" s="74">
        <f t="shared" si="161"/>
        <v>0.91190000000000004</v>
      </c>
      <c r="X151" s="70" cm="1">
        <f t="array" ref="X151">IF(U151="","",INDEX(STEP!$C:$C,MATCH('Position Control'!M151&amp;'Position Control'!P151,STEP!$A:$A&amp;STEP!$B:$B,0)))</f>
        <v>26.318300000000001</v>
      </c>
      <c r="Y151" s="74">
        <f t="shared" si="190"/>
        <v>8.8099999999999998E-2</v>
      </c>
      <c r="Z151" s="1">
        <v>7704</v>
      </c>
      <c r="AA151" s="112">
        <f>VLOOKUP(Z151,'WRK COMP'!$A$1:$E$17,5,FALSE)</f>
        <v>1.2449999999999999E-2</v>
      </c>
      <c r="AB151" s="76" t="s">
        <v>13</v>
      </c>
      <c r="AC151" s="68">
        <v>0</v>
      </c>
      <c r="AD151" s="209">
        <v>25</v>
      </c>
      <c r="AE151" s="209">
        <v>0</v>
      </c>
      <c r="AF151" s="209">
        <v>0</v>
      </c>
      <c r="AG151" s="209">
        <v>50</v>
      </c>
      <c r="AH151" s="68">
        <v>0</v>
      </c>
      <c r="AI151" s="68">
        <v>0</v>
      </c>
      <c r="AJ151" s="10" t="s">
        <v>14</v>
      </c>
      <c r="AK151" s="10" t="s">
        <v>24</v>
      </c>
      <c r="AL151" s="10" t="s">
        <v>49</v>
      </c>
      <c r="AM151" s="78">
        <f>IF(F151&gt;0.79,IF(ROUNDUP(IF(B151="FS",(V151*HRS!$B$9),(V151*HRS!$L$2))*2,-3)&gt;150000,150000,(ROUNDUP(IF(B151="FS",(V151*HRS!$B$9),(V151*HRS!$L$2))*2,-3))),0)</f>
        <v>139000</v>
      </c>
      <c r="AN151" s="188">
        <f t="shared" si="215"/>
        <v>71281</v>
      </c>
      <c r="AO151" s="77">
        <f>IF(L151="N",IF(B151="FS",ROUNDUP($V151*HRS!$B$9*'Position Control'!F151,0),ROUNDUP('Position Control'!$V151*HRS!$L$2*'Position Control'!F151,0)),IF('Position Control'!B151="FS",ROUNDUP(('Position Control'!V151*HRS!$B$9*'Position Control'!W151*'Position Control'!F151)+('Position Control'!X151*HRS!$B$9*'Position Control'!Y151*'Position Control'!F151),0),ROUNDUP(('Position Control'!V151*HRS!$L$2*'Position Control'!W151*'Position Control'!F151)+('Position Control'!X151*HRS!$L$2*'Position Control'!Y151*'Position Control'!F151),0)))*'Position Control'!H151</f>
        <v>69481</v>
      </c>
      <c r="AP151" s="77">
        <f t="shared" si="192"/>
        <v>0</v>
      </c>
      <c r="AQ151" s="77">
        <f t="shared" si="193"/>
        <v>600</v>
      </c>
      <c r="AR151" s="77">
        <f t="shared" si="194"/>
        <v>1200</v>
      </c>
      <c r="AS151" s="77">
        <v>0</v>
      </c>
      <c r="AT151" s="79">
        <f t="shared" si="195"/>
        <v>0</v>
      </c>
      <c r="AU151" s="77">
        <f t="shared" si="196"/>
        <v>0</v>
      </c>
      <c r="AV151" s="77">
        <v>0</v>
      </c>
      <c r="AW151" s="77">
        <f t="shared" si="197"/>
        <v>0</v>
      </c>
      <c r="AX151" s="77">
        <f t="shared" si="198"/>
        <v>0</v>
      </c>
      <c r="AY151" s="77">
        <f t="shared" si="199"/>
        <v>0</v>
      </c>
      <c r="AZ151" s="77">
        <f t="shared" si="200"/>
        <v>0</v>
      </c>
      <c r="BA151" s="77">
        <f t="shared" si="201"/>
        <v>0</v>
      </c>
      <c r="BB151" s="77">
        <f t="shared" si="202"/>
        <v>0</v>
      </c>
      <c r="BC151" s="77">
        <f t="shared" si="186"/>
        <v>0</v>
      </c>
      <c r="BD151" s="77">
        <f t="shared" si="214"/>
        <v>260</v>
      </c>
      <c r="BE151" s="77">
        <f t="shared" si="216"/>
        <v>5730</v>
      </c>
      <c r="BF151" s="77">
        <f t="shared" si="204"/>
        <v>166.8</v>
      </c>
      <c r="BG151" s="77">
        <f>VLOOKUP($AJ151,BENE!$I$2:$N$9,6,FALSE)*'Position Control'!$H151</f>
        <v>389</v>
      </c>
      <c r="BH151" s="77">
        <f>VLOOKUP($AK151,BENE!$A$2:$F$19,6,FALSE)*'Position Control'!$H151</f>
        <v>7234</v>
      </c>
      <c r="BI151" s="77">
        <f>VLOOKUP($AK151,BENE!$A$2:$G$19,7,FALSE)*'Position Control'!$H151</f>
        <v>0</v>
      </c>
      <c r="BJ151" s="77">
        <f>VLOOKUP($AL151,BENE!$P$2:$S$6,4,FALSE)*'Position Control'!$H151</f>
        <v>0</v>
      </c>
      <c r="BK151" s="77">
        <f>IF($F151&gt;HRS!$H$2,ROUNDUP(((($AN151+$BE151)*$BK$3)/12*9)+(($AN151+$BE151)*HRS!$B$10/12*3),0),0)*$H151</f>
        <v>12985</v>
      </c>
      <c r="BL151" s="80">
        <f t="shared" si="205"/>
        <v>888</v>
      </c>
      <c r="BM151" s="77">
        <f t="shared" si="206"/>
        <v>144</v>
      </c>
      <c r="BN151" s="77">
        <f t="shared" si="207"/>
        <v>1034</v>
      </c>
      <c r="BO151" s="77">
        <f t="shared" si="208"/>
        <v>128</v>
      </c>
      <c r="BP151" s="77">
        <f t="shared" si="209"/>
        <v>0</v>
      </c>
      <c r="BQ151" s="77">
        <v>0</v>
      </c>
      <c r="BR151" s="80">
        <f t="shared" si="217"/>
        <v>100239.8</v>
      </c>
    </row>
    <row r="152" spans="1:70" outlineLevel="1" x14ac:dyDescent="0.35">
      <c r="A152" s="1" t="s">
        <v>6</v>
      </c>
      <c r="B152" s="1" t="s">
        <v>156</v>
      </c>
      <c r="C152" s="1" t="s">
        <v>8</v>
      </c>
      <c r="D152" s="1" t="s">
        <v>140</v>
      </c>
      <c r="E152" s="1" t="s">
        <v>89</v>
      </c>
      <c r="F152" s="2">
        <v>1</v>
      </c>
      <c r="G152" s="66">
        <v>1</v>
      </c>
      <c r="H152" s="66">
        <v>1</v>
      </c>
      <c r="I152" s="1" t="s">
        <v>611</v>
      </c>
      <c r="J152" s="1" t="s">
        <v>612</v>
      </c>
      <c r="K152" s="1" t="s">
        <v>178</v>
      </c>
      <c r="L152" s="76" t="str">
        <f>IF(M152="","N",STEP!$J$22)</f>
        <v>Y</v>
      </c>
      <c r="M152" s="1" t="s">
        <v>161</v>
      </c>
      <c r="N152" s="1" t="s">
        <v>162</v>
      </c>
      <c r="O152" s="1">
        <v>2</v>
      </c>
      <c r="P152" s="1">
        <v>3</v>
      </c>
      <c r="Q152" s="185">
        <v>20220117</v>
      </c>
      <c r="R152" s="196">
        <v>44578</v>
      </c>
      <c r="S152" s="197">
        <f t="shared" si="188"/>
        <v>8</v>
      </c>
      <c r="T152" s="66">
        <f t="shared" si="189"/>
        <v>1</v>
      </c>
      <c r="U152" s="65">
        <v>20220202</v>
      </c>
      <c r="V152" s="70">
        <v>23.566500000000001</v>
      </c>
      <c r="W152" s="74">
        <f t="shared" si="161"/>
        <v>0.92010000000000003</v>
      </c>
      <c r="X152" s="70" cm="1">
        <f t="array" ref="X152">IF(U152="","",INDEX(STEP!$C:$C,MATCH('Position Control'!M152&amp;'Position Control'!P152,STEP!$A:$A&amp;STEP!$B:$B,0)))</f>
        <v>24.450199999999999</v>
      </c>
      <c r="Y152" s="74">
        <f t="shared" si="190"/>
        <v>7.9899999999999999E-2</v>
      </c>
      <c r="Z152" s="1">
        <v>7704</v>
      </c>
      <c r="AA152" s="112">
        <f>VLOOKUP(Z152,'WRK COMP'!$A$1:$E$17,5,FALSE)</f>
        <v>1.2449999999999999E-2</v>
      </c>
      <c r="AB152" s="76" t="s">
        <v>13</v>
      </c>
      <c r="AC152" s="68">
        <v>0</v>
      </c>
      <c r="AD152" s="209">
        <v>37.5</v>
      </c>
      <c r="AE152" s="209">
        <v>0</v>
      </c>
      <c r="AF152" s="209">
        <v>0</v>
      </c>
      <c r="AG152" s="209">
        <v>0</v>
      </c>
      <c r="AH152" s="68">
        <v>0</v>
      </c>
      <c r="AI152" s="68">
        <v>0</v>
      </c>
      <c r="AJ152" s="10" t="s">
        <v>18</v>
      </c>
      <c r="AK152" s="10" t="s">
        <v>81</v>
      </c>
      <c r="AL152" s="10" t="s">
        <v>49</v>
      </c>
      <c r="AM152" s="78">
        <f>IF(F152&gt;0.79,IF(ROUNDUP(IF(B152="FS",(V152*HRS!$B$9),(V152*HRS!$L$2))*2,-3)&gt;150000,150000,(ROUNDUP(IF(B152="FS",(V152*HRS!$B$9),(V152*HRS!$L$2))*2,-3))),0)</f>
        <v>129000</v>
      </c>
      <c r="AN152" s="188">
        <f t="shared" si="215"/>
        <v>65430</v>
      </c>
      <c r="AO152" s="77">
        <f>IF(L152="N",IF(B152="FS",ROUNDUP($V152*HRS!$B$9*'Position Control'!F152,0),ROUNDUP('Position Control'!$V152*HRS!$L$2*'Position Control'!F152,0)),IF('Position Control'!B152="FS",ROUNDUP(('Position Control'!V152*HRS!$B$9*'Position Control'!W152*'Position Control'!F152)+('Position Control'!X152*HRS!$B$9*'Position Control'!Y152*'Position Control'!F152),0),ROUNDUP(('Position Control'!V152*HRS!$L$2*'Position Control'!W152*'Position Control'!F152)+('Position Control'!X152*HRS!$L$2*'Position Control'!Y152*'Position Control'!F152),0)))*'Position Control'!H152</f>
        <v>64530</v>
      </c>
      <c r="AP152" s="77">
        <f t="shared" si="192"/>
        <v>0</v>
      </c>
      <c r="AQ152" s="77">
        <f t="shared" si="193"/>
        <v>900</v>
      </c>
      <c r="AR152" s="77">
        <f t="shared" si="194"/>
        <v>0</v>
      </c>
      <c r="AS152" s="77">
        <v>0</v>
      </c>
      <c r="AT152" s="79">
        <f t="shared" si="195"/>
        <v>0</v>
      </c>
      <c r="AU152" s="77">
        <f t="shared" si="196"/>
        <v>0</v>
      </c>
      <c r="AV152" s="77">
        <v>0</v>
      </c>
      <c r="AW152" s="77">
        <f t="shared" si="197"/>
        <v>0</v>
      </c>
      <c r="AX152" s="77">
        <f t="shared" si="198"/>
        <v>0</v>
      </c>
      <c r="AY152" s="77">
        <f t="shared" si="199"/>
        <v>0</v>
      </c>
      <c r="AZ152" s="77">
        <f t="shared" si="200"/>
        <v>0</v>
      </c>
      <c r="BA152" s="77">
        <f t="shared" si="201"/>
        <v>0</v>
      </c>
      <c r="BB152" s="77">
        <f t="shared" si="202"/>
        <v>0</v>
      </c>
      <c r="BC152" s="77">
        <f t="shared" si="186"/>
        <v>0</v>
      </c>
      <c r="BD152" s="77">
        <f t="shared" si="214"/>
        <v>0</v>
      </c>
      <c r="BE152" s="77">
        <f t="shared" si="216"/>
        <v>5320</v>
      </c>
      <c r="BF152" s="77">
        <f t="shared" si="204"/>
        <v>154.80000000000001</v>
      </c>
      <c r="BG152" s="77">
        <f>VLOOKUP($AJ152,BENE!$I$2:$N$9,6,FALSE)*'Position Control'!$H152</f>
        <v>760</v>
      </c>
      <c r="BH152" s="77">
        <f>VLOOKUP($AK152,BENE!$A$2:$F$19,6,FALSE)*'Position Control'!$H152</f>
        <v>11050</v>
      </c>
      <c r="BI152" s="77">
        <f>VLOOKUP($AK152,BENE!$A$2:$G$19,7,FALSE)*'Position Control'!$H152</f>
        <v>0</v>
      </c>
      <c r="BJ152" s="77">
        <f>VLOOKUP($AL152,BENE!$P$2:$S$6,4,FALSE)*'Position Control'!$H152</f>
        <v>0</v>
      </c>
      <c r="BK152" s="77">
        <f>IF($F152&gt;HRS!$H$2,ROUNDUP(((($AN152+$BE152)*$BK$3)/12*9)+(($AN152+$BE152)*HRS!$B$10/12*3),0),0)*$H152</f>
        <v>11929</v>
      </c>
      <c r="BL152" s="80">
        <f t="shared" si="205"/>
        <v>815</v>
      </c>
      <c r="BM152" s="77">
        <f t="shared" si="206"/>
        <v>144</v>
      </c>
      <c r="BN152" s="77">
        <f t="shared" si="207"/>
        <v>949</v>
      </c>
      <c r="BO152" s="77">
        <f t="shared" si="208"/>
        <v>118</v>
      </c>
      <c r="BP152" s="77">
        <f t="shared" si="209"/>
        <v>0</v>
      </c>
      <c r="BQ152" s="77">
        <v>0</v>
      </c>
      <c r="BR152" s="80">
        <f t="shared" si="217"/>
        <v>96669.8</v>
      </c>
    </row>
    <row r="153" spans="1:70" outlineLevel="1" x14ac:dyDescent="0.35">
      <c r="A153" s="1" t="s">
        <v>6</v>
      </c>
      <c r="B153" s="1" t="s">
        <v>156</v>
      </c>
      <c r="C153" s="1" t="s">
        <v>8</v>
      </c>
      <c r="D153" s="1" t="s">
        <v>140</v>
      </c>
      <c r="E153" s="1" t="s">
        <v>89</v>
      </c>
      <c r="F153" s="2">
        <v>1</v>
      </c>
      <c r="G153" s="66">
        <v>1</v>
      </c>
      <c r="H153" s="66">
        <v>1</v>
      </c>
      <c r="I153" s="1" t="s">
        <v>611</v>
      </c>
      <c r="J153" s="1" t="s">
        <v>612</v>
      </c>
      <c r="K153" s="1" t="s">
        <v>160</v>
      </c>
      <c r="L153" s="76" t="str">
        <f>IF(M153="","N",STEP!$J$22)</f>
        <v>Y</v>
      </c>
      <c r="M153" s="1" t="s">
        <v>161</v>
      </c>
      <c r="N153" s="1" t="s">
        <v>162</v>
      </c>
      <c r="O153" s="1">
        <v>7</v>
      </c>
      <c r="P153" s="1">
        <v>7</v>
      </c>
      <c r="Q153" s="185">
        <v>19990601</v>
      </c>
      <c r="R153" s="196">
        <v>36312</v>
      </c>
      <c r="S153" s="197">
        <f t="shared" si="188"/>
        <v>279</v>
      </c>
      <c r="T153" s="66">
        <f t="shared" si="189"/>
        <v>24</v>
      </c>
      <c r="U153" s="65">
        <v>20211007</v>
      </c>
      <c r="V153" s="70">
        <v>28.3292</v>
      </c>
      <c r="W153" s="74">
        <f t="shared" si="161"/>
        <v>6.0000000000004494E-4</v>
      </c>
      <c r="X153" s="70" cm="1">
        <f t="array" ref="X153">IF(U153="","",INDEX(STEP!$C:$C,MATCH('Position Control'!M153&amp;'Position Control'!P153,STEP!$A:$A&amp;STEP!$B:$B,0)))</f>
        <v>28.3292</v>
      </c>
      <c r="Y153" s="74">
        <f t="shared" si="190"/>
        <v>0.99939999999999996</v>
      </c>
      <c r="Z153" s="1">
        <v>7704</v>
      </c>
      <c r="AA153" s="112">
        <f>VLOOKUP(Z153,'WRK COMP'!$A$1:$E$17,5,FALSE)</f>
        <v>1.2449999999999999E-2</v>
      </c>
      <c r="AB153" s="76" t="s">
        <v>13</v>
      </c>
      <c r="AC153" s="68">
        <v>0</v>
      </c>
      <c r="AD153" s="209">
        <v>62.5</v>
      </c>
      <c r="AE153" s="209">
        <v>50</v>
      </c>
      <c r="AF153" s="209">
        <v>0</v>
      </c>
      <c r="AG153" s="209">
        <v>50</v>
      </c>
      <c r="AH153" s="68">
        <v>0</v>
      </c>
      <c r="AI153" s="68">
        <v>0</v>
      </c>
      <c r="AJ153" s="10" t="s">
        <v>18</v>
      </c>
      <c r="AK153" s="10" t="s">
        <v>19</v>
      </c>
      <c r="AL153" s="10" t="s">
        <v>49</v>
      </c>
      <c r="AM153" s="78">
        <f>IF(F153&gt;0.79,IF(ROUNDUP(IF(B153="FS",(V153*HRS!$B$9),(V153*HRS!$L$2))*2,-3)&gt;150000,150000,(ROUNDUP(IF(B153="FS",(V153*HRS!$B$9),(V153*HRS!$L$2))*2,-3))),0)</f>
        <v>150000</v>
      </c>
      <c r="AN153" s="188">
        <f t="shared" si="215"/>
        <v>81239</v>
      </c>
      <c r="AO153" s="77">
        <f>IF(L153="N",IF(B153="FS",ROUNDUP($V153*HRS!$B$9*'Position Control'!F153,0),ROUNDUP('Position Control'!$V153*HRS!$L$2*'Position Control'!F153,0)),IF('Position Control'!B153="FS",ROUNDUP(('Position Control'!V153*HRS!$B$9*'Position Control'!W153*'Position Control'!F153)+('Position Control'!X153*HRS!$B$9*'Position Control'!Y153*'Position Control'!F153),0),ROUNDUP(('Position Control'!V153*HRS!$L$2*'Position Control'!W153*'Position Control'!F153)+('Position Control'!X153*HRS!$L$2*'Position Control'!Y153*'Position Control'!F153),0)))*'Position Control'!H153</f>
        <v>77339</v>
      </c>
      <c r="AP153" s="77">
        <f t="shared" si="192"/>
        <v>0</v>
      </c>
      <c r="AQ153" s="77">
        <f t="shared" si="193"/>
        <v>1500</v>
      </c>
      <c r="AR153" s="77">
        <f t="shared" si="194"/>
        <v>1200</v>
      </c>
      <c r="AS153" s="77">
        <v>0</v>
      </c>
      <c r="AT153" s="79">
        <f t="shared" si="195"/>
        <v>0</v>
      </c>
      <c r="AU153" s="77">
        <f t="shared" si="196"/>
        <v>0</v>
      </c>
      <c r="AV153" s="77">
        <v>0</v>
      </c>
      <c r="AW153" s="77">
        <f t="shared" si="197"/>
        <v>1200</v>
      </c>
      <c r="AX153" s="77">
        <f t="shared" si="198"/>
        <v>0</v>
      </c>
      <c r="AY153" s="77">
        <f t="shared" si="199"/>
        <v>0</v>
      </c>
      <c r="AZ153" s="77">
        <f t="shared" si="200"/>
        <v>0</v>
      </c>
      <c r="BA153" s="77">
        <f t="shared" si="201"/>
        <v>0</v>
      </c>
      <c r="BB153" s="77">
        <f t="shared" si="202"/>
        <v>0</v>
      </c>
      <c r="BC153" s="77">
        <f t="shared" si="186"/>
        <v>0</v>
      </c>
      <c r="BD153" s="77">
        <f t="shared" ref="BD153:BD162" si="218">IF($S153&gt;=12,IF(($S153*5)&gt;1200,1200,$S153*5),0)*$H153</f>
        <v>1200</v>
      </c>
      <c r="BE153" s="77">
        <f t="shared" si="216"/>
        <v>6380</v>
      </c>
      <c r="BF153" s="77">
        <f t="shared" si="204"/>
        <v>180</v>
      </c>
      <c r="BG153" s="77">
        <f>VLOOKUP($AJ153,BENE!$I$2:$N$9,6,FALSE)*'Position Control'!$H153</f>
        <v>760</v>
      </c>
      <c r="BH153" s="77">
        <f>VLOOKUP($AK153,BENE!$A$2:$F$19,6,FALSE)*'Position Control'!$H153</f>
        <v>20439</v>
      </c>
      <c r="BI153" s="77">
        <f>VLOOKUP($AK153,BENE!$A$2:$G$19,7,FALSE)*'Position Control'!$H153</f>
        <v>0</v>
      </c>
      <c r="BJ153" s="77">
        <f>VLOOKUP($AL153,BENE!$P$2:$S$6,4,FALSE)*'Position Control'!$H153</f>
        <v>0</v>
      </c>
      <c r="BK153" s="77">
        <f>IF($F153&gt;HRS!$H$2,ROUNDUP(((($AN153+$BE153)*$BK$3)/12*9)+(($AN153+$BE153)*HRS!$B$10/12*3),0),0)*$H153</f>
        <v>14773</v>
      </c>
      <c r="BL153" s="80">
        <f t="shared" si="205"/>
        <v>1012</v>
      </c>
      <c r="BM153" s="77">
        <f t="shared" si="206"/>
        <v>144</v>
      </c>
      <c r="BN153" s="77">
        <f t="shared" si="207"/>
        <v>1178</v>
      </c>
      <c r="BO153" s="77">
        <f t="shared" si="208"/>
        <v>146</v>
      </c>
      <c r="BP153" s="77">
        <f t="shared" si="209"/>
        <v>1750</v>
      </c>
      <c r="BQ153" s="77">
        <v>0</v>
      </c>
      <c r="BR153" s="80">
        <f t="shared" si="217"/>
        <v>129201</v>
      </c>
    </row>
    <row r="154" spans="1:70" outlineLevel="1" x14ac:dyDescent="0.35">
      <c r="A154" s="1" t="s">
        <v>6</v>
      </c>
      <c r="B154" s="1" t="s">
        <v>156</v>
      </c>
      <c r="C154" s="1" t="s">
        <v>8</v>
      </c>
      <c r="D154" s="1" t="s">
        <v>140</v>
      </c>
      <c r="E154" s="1" t="s">
        <v>89</v>
      </c>
      <c r="F154" s="2">
        <v>1</v>
      </c>
      <c r="G154" s="66">
        <v>1</v>
      </c>
      <c r="H154" s="66">
        <v>1</v>
      </c>
      <c r="I154" s="1" t="s">
        <v>611</v>
      </c>
      <c r="J154" s="1" t="s">
        <v>612</v>
      </c>
      <c r="K154" s="1" t="s">
        <v>181</v>
      </c>
      <c r="L154" s="76" t="str">
        <f>IF(M154="","N",STEP!$J$22)</f>
        <v>Y</v>
      </c>
      <c r="M154" s="1" t="s">
        <v>161</v>
      </c>
      <c r="N154" s="1" t="s">
        <v>162</v>
      </c>
      <c r="O154" s="1">
        <v>7</v>
      </c>
      <c r="P154" s="1">
        <v>7</v>
      </c>
      <c r="Q154" s="185">
        <v>20150330</v>
      </c>
      <c r="R154" s="196">
        <v>42093</v>
      </c>
      <c r="S154" s="197">
        <f t="shared" si="188"/>
        <v>90</v>
      </c>
      <c r="T154" s="66">
        <f t="shared" si="189"/>
        <v>8</v>
      </c>
      <c r="U154" s="65">
        <v>20211007</v>
      </c>
      <c r="V154" s="70">
        <v>28.3292</v>
      </c>
      <c r="W154" s="74">
        <f t="shared" si="161"/>
        <v>6.0000000000004494E-4</v>
      </c>
      <c r="X154" s="70" cm="1">
        <f t="array" ref="X154">IF(U154="","",INDEX(STEP!$C:$C,MATCH('Position Control'!M154&amp;'Position Control'!P154,STEP!$A:$A&amp;STEP!$B:$B,0)))</f>
        <v>28.3292</v>
      </c>
      <c r="Y154" s="74">
        <f t="shared" si="190"/>
        <v>0.99939999999999996</v>
      </c>
      <c r="Z154" s="1">
        <v>7704</v>
      </c>
      <c r="AA154" s="112">
        <f>VLOOKUP(Z154,'WRK COMP'!$A$1:$E$17,5,FALSE)</f>
        <v>1.2449999999999999E-2</v>
      </c>
      <c r="AB154" s="76" t="s">
        <v>13</v>
      </c>
      <c r="AC154" s="68">
        <v>0</v>
      </c>
      <c r="AD154" s="209">
        <v>87.5</v>
      </c>
      <c r="AE154" s="209">
        <v>50</v>
      </c>
      <c r="AF154" s="209">
        <v>0</v>
      </c>
      <c r="AG154" s="209">
        <v>50</v>
      </c>
      <c r="AH154" s="68">
        <v>0</v>
      </c>
      <c r="AI154" s="68">
        <v>0</v>
      </c>
      <c r="AJ154" s="10" t="s">
        <v>14</v>
      </c>
      <c r="AK154" s="10" t="s">
        <v>32</v>
      </c>
      <c r="AL154" s="10" t="s">
        <v>16</v>
      </c>
      <c r="AM154" s="78">
        <f>IF(F154&gt;0.79,IF(ROUNDUP(IF(B154="FS",(V154*HRS!$B$9),(V154*HRS!$L$2))*2,-3)&gt;150000,150000,(ROUNDUP(IF(B154="FS",(V154*HRS!$B$9),(V154*HRS!$L$2))*2,-3))),0)</f>
        <v>150000</v>
      </c>
      <c r="AN154" s="188">
        <f t="shared" si="215"/>
        <v>81839</v>
      </c>
      <c r="AO154" s="77">
        <f>IF(L154="N",IF(B154="FS",ROUNDUP($V154*HRS!$B$9*'Position Control'!F154,0),ROUNDUP('Position Control'!$V154*HRS!$L$2*'Position Control'!F154,0)),IF('Position Control'!B154="FS",ROUNDUP(('Position Control'!V154*HRS!$B$9*'Position Control'!W154*'Position Control'!F154)+('Position Control'!X154*HRS!$B$9*'Position Control'!Y154*'Position Control'!F154),0),ROUNDUP(('Position Control'!V154*HRS!$L$2*'Position Control'!W154*'Position Control'!F154)+('Position Control'!X154*HRS!$L$2*'Position Control'!Y154*'Position Control'!F154),0)))*'Position Control'!H154</f>
        <v>77339</v>
      </c>
      <c r="AP154" s="77">
        <f t="shared" si="192"/>
        <v>0</v>
      </c>
      <c r="AQ154" s="77">
        <f t="shared" si="193"/>
        <v>2100</v>
      </c>
      <c r="AR154" s="77">
        <f t="shared" si="194"/>
        <v>1200</v>
      </c>
      <c r="AS154" s="77">
        <v>0</v>
      </c>
      <c r="AT154" s="79">
        <f t="shared" si="195"/>
        <v>0</v>
      </c>
      <c r="AU154" s="77">
        <f t="shared" si="196"/>
        <v>0</v>
      </c>
      <c r="AV154" s="77">
        <v>0</v>
      </c>
      <c r="AW154" s="77">
        <f t="shared" si="197"/>
        <v>1200</v>
      </c>
      <c r="AX154" s="77">
        <f t="shared" si="198"/>
        <v>0</v>
      </c>
      <c r="AY154" s="77">
        <f t="shared" si="199"/>
        <v>0</v>
      </c>
      <c r="AZ154" s="77">
        <f t="shared" si="200"/>
        <v>0</v>
      </c>
      <c r="BA154" s="77">
        <f t="shared" si="201"/>
        <v>0</v>
      </c>
      <c r="BB154" s="77">
        <f t="shared" si="202"/>
        <v>0</v>
      </c>
      <c r="BC154" s="77">
        <f t="shared" si="186"/>
        <v>0</v>
      </c>
      <c r="BD154" s="77">
        <f t="shared" si="218"/>
        <v>450</v>
      </c>
      <c r="BE154" s="77">
        <f t="shared" si="216"/>
        <v>6380</v>
      </c>
      <c r="BF154" s="77">
        <f t="shared" si="204"/>
        <v>180</v>
      </c>
      <c r="BG154" s="77">
        <f>VLOOKUP($AJ154,BENE!$I$2:$N$9,6,FALSE)*'Position Control'!$H154</f>
        <v>389</v>
      </c>
      <c r="BH154" s="77">
        <f>VLOOKUP($AK154,BENE!$A$2:$F$19,6,FALSE)*'Position Control'!$H154</f>
        <v>6273</v>
      </c>
      <c r="BI154" s="77">
        <f>VLOOKUP($AK154,BENE!$A$2:$G$19,7,FALSE)*'Position Control'!$H154</f>
        <v>1000</v>
      </c>
      <c r="BJ154" s="77">
        <f>VLOOKUP($AL154,BENE!$P$2:$S$6,4,FALSE)*'Position Control'!$H154</f>
        <v>240</v>
      </c>
      <c r="BK154" s="77">
        <f>IF($F154&gt;HRS!$H$2,ROUNDUP(((($AN154+$BE154)*$BK$3)/12*9)+(($AN154+$BE154)*HRS!$B$10/12*3),0),0)*$H154</f>
        <v>14874</v>
      </c>
      <c r="BL154" s="80">
        <f t="shared" si="205"/>
        <v>1019</v>
      </c>
      <c r="BM154" s="77">
        <f t="shared" si="206"/>
        <v>144</v>
      </c>
      <c r="BN154" s="77">
        <f t="shared" si="207"/>
        <v>1187</v>
      </c>
      <c r="BO154" s="77">
        <f t="shared" si="208"/>
        <v>147</v>
      </c>
      <c r="BP154" s="77">
        <f t="shared" si="209"/>
        <v>0</v>
      </c>
      <c r="BQ154" s="77">
        <v>0</v>
      </c>
      <c r="BR154" s="80">
        <f t="shared" si="217"/>
        <v>114122</v>
      </c>
    </row>
    <row r="155" spans="1:70" outlineLevel="1" x14ac:dyDescent="0.35">
      <c r="A155" s="1" t="s">
        <v>6</v>
      </c>
      <c r="B155" s="1" t="s">
        <v>156</v>
      </c>
      <c r="C155" s="1" t="s">
        <v>8</v>
      </c>
      <c r="D155" s="1" t="s">
        <v>140</v>
      </c>
      <c r="E155" s="1" t="s">
        <v>89</v>
      </c>
      <c r="F155" s="2">
        <v>1</v>
      </c>
      <c r="G155" s="66">
        <v>1</v>
      </c>
      <c r="H155" s="66">
        <v>1</v>
      </c>
      <c r="I155" s="1" t="s">
        <v>611</v>
      </c>
      <c r="J155" s="1" t="s">
        <v>612</v>
      </c>
      <c r="K155" s="1" t="s">
        <v>185</v>
      </c>
      <c r="L155" s="76" t="str">
        <f>IF(M155="","N",STEP!$J$22)</f>
        <v>Y</v>
      </c>
      <c r="M155" s="1" t="s">
        <v>161</v>
      </c>
      <c r="N155" s="1" t="s">
        <v>162</v>
      </c>
      <c r="O155" s="1">
        <v>4</v>
      </c>
      <c r="P155" s="1">
        <v>5</v>
      </c>
      <c r="Q155" s="185">
        <v>20180627</v>
      </c>
      <c r="R155" s="196">
        <v>43278</v>
      </c>
      <c r="S155" s="197">
        <f t="shared" si="188"/>
        <v>51</v>
      </c>
      <c r="T155" s="66">
        <f t="shared" si="189"/>
        <v>5</v>
      </c>
      <c r="U155" s="65">
        <v>20220228</v>
      </c>
      <c r="V155" s="70">
        <v>25.367100000000001</v>
      </c>
      <c r="W155" s="74">
        <f t="shared" si="161"/>
        <v>0.92269999999999996</v>
      </c>
      <c r="X155" s="70" cm="1">
        <f t="array" ref="X155">IF(U155="","",INDEX(STEP!$C:$C,MATCH('Position Control'!M155&amp;'Position Control'!P155,STEP!$A:$A&amp;STEP!$B:$B,0)))</f>
        <v>26.318300000000001</v>
      </c>
      <c r="Y155" s="74">
        <f t="shared" si="190"/>
        <v>7.7299999999999994E-2</v>
      </c>
      <c r="Z155" s="1">
        <v>7704</v>
      </c>
      <c r="AA155" s="112">
        <f>VLOOKUP(Z155,'WRK COMP'!$A$1:$E$17,5,FALSE)</f>
        <v>1.2449999999999999E-2</v>
      </c>
      <c r="AB155" s="76" t="s">
        <v>13</v>
      </c>
      <c r="AC155" s="68">
        <v>0</v>
      </c>
      <c r="AD155" s="209">
        <v>25</v>
      </c>
      <c r="AE155" s="209">
        <v>50</v>
      </c>
      <c r="AF155" s="209">
        <v>0</v>
      </c>
      <c r="AG155" s="209">
        <v>50</v>
      </c>
      <c r="AH155" s="68">
        <v>0</v>
      </c>
      <c r="AI155" s="68">
        <v>0</v>
      </c>
      <c r="AJ155" s="10" t="s">
        <v>28</v>
      </c>
      <c r="AK155" s="10" t="s">
        <v>15</v>
      </c>
      <c r="AL155" s="10" t="s">
        <v>16</v>
      </c>
      <c r="AM155" s="78">
        <f>IF(F155&gt;0.79,IF(ROUNDUP(IF(B155="FS",(V155*HRS!$B$9),(V155*HRS!$L$2))*2,-3)&gt;150000,150000,(ROUNDUP(IF(B155="FS",(V155*HRS!$B$9),(V155*HRS!$L$2))*2,-3))),0)</f>
        <v>139000</v>
      </c>
      <c r="AN155" s="188">
        <f t="shared" si="215"/>
        <v>72453</v>
      </c>
      <c r="AO155" s="77">
        <f>IF(L155="N",IF(B155="FS",ROUNDUP($V155*HRS!$B$9*'Position Control'!F155,0),ROUNDUP('Position Control'!$V155*HRS!$L$2*'Position Control'!F155,0)),IF('Position Control'!B155="FS",ROUNDUP(('Position Control'!V155*HRS!$B$9*'Position Control'!W155*'Position Control'!F155)+('Position Control'!X155*HRS!$B$9*'Position Control'!Y155*'Position Control'!F155),0),ROUNDUP(('Position Control'!V155*HRS!$L$2*'Position Control'!W155*'Position Control'!F155)+('Position Control'!X155*HRS!$L$2*'Position Control'!Y155*'Position Control'!F155),0)))*'Position Control'!H155</f>
        <v>69453</v>
      </c>
      <c r="AP155" s="77">
        <f t="shared" si="192"/>
        <v>0</v>
      </c>
      <c r="AQ155" s="77">
        <f t="shared" si="193"/>
        <v>600</v>
      </c>
      <c r="AR155" s="77">
        <f t="shared" si="194"/>
        <v>1200</v>
      </c>
      <c r="AS155" s="77">
        <v>0</v>
      </c>
      <c r="AT155" s="79">
        <f t="shared" si="195"/>
        <v>0</v>
      </c>
      <c r="AU155" s="77">
        <f t="shared" si="196"/>
        <v>0</v>
      </c>
      <c r="AV155" s="77">
        <v>0</v>
      </c>
      <c r="AW155" s="77">
        <f t="shared" si="197"/>
        <v>1200</v>
      </c>
      <c r="AX155" s="77">
        <f t="shared" si="198"/>
        <v>0</v>
      </c>
      <c r="AY155" s="77">
        <f t="shared" si="199"/>
        <v>0</v>
      </c>
      <c r="AZ155" s="77">
        <f t="shared" si="200"/>
        <v>0</v>
      </c>
      <c r="BA155" s="77">
        <f t="shared" si="201"/>
        <v>0</v>
      </c>
      <c r="BB155" s="77">
        <f t="shared" si="202"/>
        <v>0</v>
      </c>
      <c r="BC155" s="77">
        <f t="shared" si="186"/>
        <v>0</v>
      </c>
      <c r="BD155" s="77">
        <f t="shared" si="218"/>
        <v>255</v>
      </c>
      <c r="BE155" s="77">
        <f t="shared" si="216"/>
        <v>5730</v>
      </c>
      <c r="BF155" s="77">
        <f t="shared" si="204"/>
        <v>166.8</v>
      </c>
      <c r="BG155" s="77">
        <f>VLOOKUP($AJ155,BENE!$I$2:$N$9,6,FALSE)*'Position Control'!$H155</f>
        <v>154</v>
      </c>
      <c r="BH155" s="77">
        <f>VLOOKUP($AK155,BENE!$A$2:$F$19,6,FALSE)*'Position Control'!$H155</f>
        <v>6142</v>
      </c>
      <c r="BI155" s="77">
        <f>VLOOKUP($AK155,BENE!$A$2:$G$19,7,FALSE)*'Position Control'!$H155</f>
        <v>1000</v>
      </c>
      <c r="BJ155" s="77">
        <f>VLOOKUP($AL155,BENE!$P$2:$S$6,4,FALSE)*'Position Control'!$H155</f>
        <v>240</v>
      </c>
      <c r="BK155" s="77">
        <f>IF($F155&gt;HRS!$H$2,ROUNDUP(((($AN155+$BE155)*$BK$3)/12*9)+(($AN155+$BE155)*HRS!$B$10/12*3),0),0)*$H155</f>
        <v>13182</v>
      </c>
      <c r="BL155" s="80">
        <f t="shared" si="205"/>
        <v>903</v>
      </c>
      <c r="BM155" s="77">
        <f t="shared" si="206"/>
        <v>144</v>
      </c>
      <c r="BN155" s="77">
        <f t="shared" si="207"/>
        <v>1051</v>
      </c>
      <c r="BO155" s="77">
        <f t="shared" si="208"/>
        <v>130</v>
      </c>
      <c r="BP155" s="77">
        <f t="shared" si="209"/>
        <v>0</v>
      </c>
      <c r="BQ155" s="77">
        <v>0</v>
      </c>
      <c r="BR155" s="80">
        <f t="shared" si="217"/>
        <v>101550.8</v>
      </c>
    </row>
    <row r="156" spans="1:70" outlineLevel="1" x14ac:dyDescent="0.35">
      <c r="A156" s="1" t="s">
        <v>6</v>
      </c>
      <c r="B156" s="1" t="s">
        <v>156</v>
      </c>
      <c r="C156" s="1" t="s">
        <v>8</v>
      </c>
      <c r="D156" s="1" t="s">
        <v>140</v>
      </c>
      <c r="E156" s="1" t="s">
        <v>89</v>
      </c>
      <c r="F156" s="2">
        <v>1</v>
      </c>
      <c r="G156" s="66">
        <v>1</v>
      </c>
      <c r="H156" s="66">
        <v>1</v>
      </c>
      <c r="I156" s="1" t="s">
        <v>611</v>
      </c>
      <c r="J156" s="1" t="s">
        <v>612</v>
      </c>
      <c r="K156" s="1" t="s">
        <v>186</v>
      </c>
      <c r="L156" s="76" t="str">
        <f>IF(M156="","N",STEP!$J$22)</f>
        <v>Y</v>
      </c>
      <c r="M156" s="1" t="s">
        <v>161</v>
      </c>
      <c r="N156" s="1" t="s">
        <v>162</v>
      </c>
      <c r="O156" s="1">
        <v>2</v>
      </c>
      <c r="P156" s="1">
        <v>3</v>
      </c>
      <c r="Q156" s="185">
        <v>20180808</v>
      </c>
      <c r="R156" s="196">
        <v>43320</v>
      </c>
      <c r="S156" s="197">
        <f t="shared" si="188"/>
        <v>49</v>
      </c>
      <c r="T156" s="66">
        <f t="shared" si="189"/>
        <v>5</v>
      </c>
      <c r="U156" s="65">
        <v>20211115</v>
      </c>
      <c r="V156" s="70">
        <v>23.566500000000001</v>
      </c>
      <c r="W156" s="74">
        <f t="shared" ref="W156:W225" si="219">IF(U156="","",(1-Y156))</f>
        <v>1.1399999999999966E-2</v>
      </c>
      <c r="X156" s="70" cm="1">
        <f t="array" ref="X156">IF(U156="","",INDEX(STEP!$C:$C,MATCH('Position Control'!M156&amp;'Position Control'!P156,STEP!$A:$A&amp;STEP!$B:$B,0)))</f>
        <v>24.450199999999999</v>
      </c>
      <c r="Y156" s="74">
        <f t="shared" si="190"/>
        <v>0.98860000000000003</v>
      </c>
      <c r="Z156" s="1">
        <v>7704</v>
      </c>
      <c r="AA156" s="112">
        <f>VLOOKUP(Z156,'WRK COMP'!$A$1:$E$17,5,FALSE)</f>
        <v>1.2449999999999999E-2</v>
      </c>
      <c r="AB156" s="76" t="s">
        <v>13</v>
      </c>
      <c r="AC156" s="68">
        <v>0</v>
      </c>
      <c r="AD156" s="209">
        <v>62.5</v>
      </c>
      <c r="AE156" s="209">
        <v>50</v>
      </c>
      <c r="AF156" s="209">
        <v>0</v>
      </c>
      <c r="AG156" s="209">
        <v>50</v>
      </c>
      <c r="AH156" s="68">
        <v>0</v>
      </c>
      <c r="AI156" s="68">
        <v>0</v>
      </c>
      <c r="AJ156" s="10" t="s">
        <v>14</v>
      </c>
      <c r="AK156" s="10" t="s">
        <v>32</v>
      </c>
      <c r="AL156" s="10" t="s">
        <v>49</v>
      </c>
      <c r="AM156" s="78">
        <f>IF(F156&gt;0.79,IF(ROUNDUP(IF(B156="FS",(V156*HRS!$B$9),(V156*HRS!$L$2))*2,-3)&gt;150000,150000,(ROUNDUP(IF(B156="FS",(V156*HRS!$B$9),(V156*HRS!$L$2))*2,-3))),0)</f>
        <v>129000</v>
      </c>
      <c r="AN156" s="188">
        <f t="shared" si="215"/>
        <v>70622</v>
      </c>
      <c r="AO156" s="77">
        <f>IF(L156="N",IF(B156="FS",ROUNDUP($V156*HRS!$B$9*'Position Control'!F156,0),ROUNDUP('Position Control'!$V156*HRS!$L$2*'Position Control'!F156,0)),IF('Position Control'!B156="FS",ROUNDUP(('Position Control'!V156*HRS!$B$9*'Position Control'!W156*'Position Control'!F156)+('Position Control'!X156*HRS!$B$9*'Position Control'!Y156*'Position Control'!F156),0),ROUNDUP(('Position Control'!V156*HRS!$L$2*'Position Control'!W156*'Position Control'!F156)+('Position Control'!X156*HRS!$L$2*'Position Control'!Y156*'Position Control'!F156),0)))*'Position Control'!H156</f>
        <v>66722</v>
      </c>
      <c r="AP156" s="77">
        <f t="shared" si="192"/>
        <v>0</v>
      </c>
      <c r="AQ156" s="77">
        <f t="shared" si="193"/>
        <v>1500</v>
      </c>
      <c r="AR156" s="77">
        <f t="shared" si="194"/>
        <v>1200</v>
      </c>
      <c r="AS156" s="77">
        <v>0</v>
      </c>
      <c r="AT156" s="79">
        <f t="shared" si="195"/>
        <v>0</v>
      </c>
      <c r="AU156" s="77">
        <f t="shared" si="196"/>
        <v>0</v>
      </c>
      <c r="AV156" s="77">
        <v>0</v>
      </c>
      <c r="AW156" s="77">
        <f t="shared" si="197"/>
        <v>1200</v>
      </c>
      <c r="AX156" s="77">
        <f t="shared" si="198"/>
        <v>0</v>
      </c>
      <c r="AY156" s="77">
        <f t="shared" si="199"/>
        <v>0</v>
      </c>
      <c r="AZ156" s="77">
        <f t="shared" si="200"/>
        <v>0</v>
      </c>
      <c r="BA156" s="77">
        <f t="shared" si="201"/>
        <v>0</v>
      </c>
      <c r="BB156" s="77">
        <f t="shared" si="202"/>
        <v>0</v>
      </c>
      <c r="BC156" s="77">
        <f t="shared" si="186"/>
        <v>0</v>
      </c>
      <c r="BD156" s="77">
        <f t="shared" si="218"/>
        <v>245</v>
      </c>
      <c r="BE156" s="77">
        <f t="shared" si="216"/>
        <v>5500</v>
      </c>
      <c r="BF156" s="77">
        <f t="shared" si="204"/>
        <v>154.80000000000001</v>
      </c>
      <c r="BG156" s="77">
        <f>VLOOKUP($AJ156,BENE!$I$2:$N$9,6,FALSE)*'Position Control'!$H156</f>
        <v>389</v>
      </c>
      <c r="BH156" s="77">
        <f>VLOOKUP($AK156,BENE!$A$2:$F$19,6,FALSE)*'Position Control'!$H156</f>
        <v>6273</v>
      </c>
      <c r="BI156" s="77">
        <f>VLOOKUP($AK156,BENE!$A$2:$G$19,7,FALSE)*'Position Control'!$H156</f>
        <v>1000</v>
      </c>
      <c r="BJ156" s="77">
        <f>VLOOKUP($AL156,BENE!$P$2:$S$6,4,FALSE)*'Position Control'!$H156</f>
        <v>0</v>
      </c>
      <c r="BK156" s="77">
        <f>IF($F156&gt;HRS!$H$2,ROUNDUP(((($AN156+$BE156)*$BK$3)/12*9)+(($AN156+$BE156)*HRS!$B$10/12*3),0),0)*$H156</f>
        <v>12835</v>
      </c>
      <c r="BL156" s="80">
        <f t="shared" si="205"/>
        <v>880</v>
      </c>
      <c r="BM156" s="77">
        <f t="shared" si="206"/>
        <v>144</v>
      </c>
      <c r="BN156" s="77">
        <f t="shared" si="207"/>
        <v>1025</v>
      </c>
      <c r="BO156" s="77">
        <f t="shared" si="208"/>
        <v>127</v>
      </c>
      <c r="BP156" s="77">
        <f t="shared" si="209"/>
        <v>0</v>
      </c>
      <c r="BQ156" s="77">
        <v>0</v>
      </c>
      <c r="BR156" s="80">
        <f t="shared" si="217"/>
        <v>99194.8</v>
      </c>
    </row>
    <row r="157" spans="1:70" outlineLevel="1" x14ac:dyDescent="0.35">
      <c r="A157" s="1" t="s">
        <v>6</v>
      </c>
      <c r="B157" s="1" t="s">
        <v>156</v>
      </c>
      <c r="C157" s="1" t="s">
        <v>8</v>
      </c>
      <c r="D157" s="1" t="s">
        <v>140</v>
      </c>
      <c r="E157" s="1" t="s">
        <v>89</v>
      </c>
      <c r="F157" s="2">
        <v>1</v>
      </c>
      <c r="G157" s="66">
        <v>1</v>
      </c>
      <c r="H157" s="66">
        <v>1</v>
      </c>
      <c r="I157" s="1" t="s">
        <v>611</v>
      </c>
      <c r="J157" s="1" t="s">
        <v>612</v>
      </c>
      <c r="K157" s="1" t="s">
        <v>187</v>
      </c>
      <c r="L157" s="76" t="str">
        <f>IF(M157="","N",STEP!$J$22)</f>
        <v>Y</v>
      </c>
      <c r="M157" s="1" t="s">
        <v>161</v>
      </c>
      <c r="N157" s="1" t="s">
        <v>162</v>
      </c>
      <c r="O157" s="1">
        <v>6</v>
      </c>
      <c r="P157" s="1">
        <v>7</v>
      </c>
      <c r="Q157" s="185">
        <v>20170614</v>
      </c>
      <c r="R157" s="196">
        <v>42900</v>
      </c>
      <c r="S157" s="197">
        <f t="shared" si="188"/>
        <v>63</v>
      </c>
      <c r="T157" s="66">
        <f t="shared" si="189"/>
        <v>6</v>
      </c>
      <c r="U157" s="65">
        <v>20211007</v>
      </c>
      <c r="V157" s="70">
        <v>27.305299999999999</v>
      </c>
      <c r="W157" s="74">
        <f t="shared" si="219"/>
        <v>6.0000000000004494E-4</v>
      </c>
      <c r="X157" s="70" cm="1">
        <f t="array" ref="X157">IF(U157="","",INDEX(STEP!$C:$C,MATCH('Position Control'!M157&amp;'Position Control'!P157,STEP!$A:$A&amp;STEP!$B:$B,0)))</f>
        <v>28.3292</v>
      </c>
      <c r="Y157" s="74">
        <f t="shared" si="190"/>
        <v>0.99939999999999996</v>
      </c>
      <c r="Z157" s="1">
        <v>7704</v>
      </c>
      <c r="AA157" s="112">
        <f>VLOOKUP(Z157,'WRK COMP'!$A$1:$E$17,5,FALSE)</f>
        <v>1.2449999999999999E-2</v>
      </c>
      <c r="AB157" s="76" t="s">
        <v>13</v>
      </c>
      <c r="AC157" s="68">
        <v>0</v>
      </c>
      <c r="AD157" s="209">
        <v>25</v>
      </c>
      <c r="AE157" s="209">
        <v>50</v>
      </c>
      <c r="AF157" s="209">
        <v>0</v>
      </c>
      <c r="AG157" s="209">
        <v>50</v>
      </c>
      <c r="AH157" s="68">
        <v>0</v>
      </c>
      <c r="AI157" s="68">
        <v>0</v>
      </c>
      <c r="AJ157" s="10" t="s">
        <v>14</v>
      </c>
      <c r="AK157" s="10" t="s">
        <v>43</v>
      </c>
      <c r="AL157" s="10" t="s">
        <v>49</v>
      </c>
      <c r="AM157" s="78">
        <f>IF(F157&gt;0.79,IF(ROUNDUP(IF(B157="FS",(V157*HRS!$B$9),(V157*HRS!$L$2))*2,-3)&gt;150000,150000,(ROUNDUP(IF(B157="FS",(V157*HRS!$B$9),(V157*HRS!$L$2))*2,-3))),0)</f>
        <v>150000</v>
      </c>
      <c r="AN157" s="188">
        <f t="shared" si="215"/>
        <v>80338</v>
      </c>
      <c r="AO157" s="77">
        <f>IF(L157="N",IF(B157="FS",ROUNDUP($V157*HRS!$B$9*'Position Control'!F157,0),ROUNDUP('Position Control'!$V157*HRS!$L$2*'Position Control'!F157,0)),IF('Position Control'!B157="FS",ROUNDUP(('Position Control'!V157*HRS!$B$9*'Position Control'!W157*'Position Control'!F157)+('Position Control'!X157*HRS!$B$9*'Position Control'!Y157*'Position Control'!F157),0),ROUNDUP(('Position Control'!V157*HRS!$L$2*'Position Control'!W157*'Position Control'!F157)+('Position Control'!X157*HRS!$L$2*'Position Control'!Y157*'Position Control'!F157),0)))*'Position Control'!H157</f>
        <v>77338</v>
      </c>
      <c r="AP157" s="77">
        <f t="shared" si="192"/>
        <v>0</v>
      </c>
      <c r="AQ157" s="77">
        <f t="shared" si="193"/>
        <v>600</v>
      </c>
      <c r="AR157" s="77">
        <f t="shared" si="194"/>
        <v>1200</v>
      </c>
      <c r="AS157" s="77">
        <v>0</v>
      </c>
      <c r="AT157" s="79">
        <f t="shared" si="195"/>
        <v>0</v>
      </c>
      <c r="AU157" s="77">
        <f t="shared" si="196"/>
        <v>0</v>
      </c>
      <c r="AV157" s="77">
        <v>0</v>
      </c>
      <c r="AW157" s="77">
        <f t="shared" si="197"/>
        <v>1200</v>
      </c>
      <c r="AX157" s="77">
        <f t="shared" si="198"/>
        <v>0</v>
      </c>
      <c r="AY157" s="77">
        <f t="shared" si="199"/>
        <v>0</v>
      </c>
      <c r="AZ157" s="77">
        <f t="shared" si="200"/>
        <v>0</v>
      </c>
      <c r="BA157" s="77">
        <f t="shared" si="201"/>
        <v>0</v>
      </c>
      <c r="BB157" s="77">
        <f t="shared" si="202"/>
        <v>0</v>
      </c>
      <c r="BC157" s="77">
        <f t="shared" si="186"/>
        <v>0</v>
      </c>
      <c r="BD157" s="77">
        <f t="shared" si="218"/>
        <v>315</v>
      </c>
      <c r="BE157" s="77">
        <f t="shared" si="216"/>
        <v>6380</v>
      </c>
      <c r="BF157" s="77">
        <f t="shared" si="204"/>
        <v>180</v>
      </c>
      <c r="BG157" s="77">
        <f>VLOOKUP($AJ157,BENE!$I$2:$N$9,6,FALSE)*'Position Control'!$H157</f>
        <v>389</v>
      </c>
      <c r="BH157" s="77">
        <f>VLOOKUP($AK157,BENE!$A$2:$F$19,6,FALSE)*'Position Control'!$H157</f>
        <v>6870</v>
      </c>
      <c r="BI157" s="77">
        <f>VLOOKUP($AK157,BENE!$A$2:$G$19,7,FALSE)*'Position Control'!$H157</f>
        <v>0</v>
      </c>
      <c r="BJ157" s="77">
        <f>VLOOKUP($AL157,BENE!$P$2:$S$6,4,FALSE)*'Position Control'!$H157</f>
        <v>0</v>
      </c>
      <c r="BK157" s="77">
        <f>IF($F157&gt;HRS!$H$2,ROUNDUP(((($AN157+$BE157)*$BK$3)/12*9)+(($AN157+$BE157)*HRS!$B$10/12*3),0),0)*$H157</f>
        <v>14621</v>
      </c>
      <c r="BL157" s="80">
        <f t="shared" si="205"/>
        <v>1001</v>
      </c>
      <c r="BM157" s="77">
        <f t="shared" si="206"/>
        <v>144</v>
      </c>
      <c r="BN157" s="77">
        <f t="shared" si="207"/>
        <v>1165</v>
      </c>
      <c r="BO157" s="77">
        <f t="shared" si="208"/>
        <v>145</v>
      </c>
      <c r="BP157" s="77">
        <f t="shared" si="209"/>
        <v>0</v>
      </c>
      <c r="BQ157" s="77">
        <v>0</v>
      </c>
      <c r="BR157" s="80">
        <f t="shared" si="217"/>
        <v>111548</v>
      </c>
    </row>
    <row r="158" spans="1:70" outlineLevel="1" x14ac:dyDescent="0.35">
      <c r="A158" s="1" t="s">
        <v>6</v>
      </c>
      <c r="B158" s="1" t="s">
        <v>156</v>
      </c>
      <c r="C158" s="1" t="s">
        <v>8</v>
      </c>
      <c r="D158" s="1" t="s">
        <v>140</v>
      </c>
      <c r="E158" s="1" t="s">
        <v>89</v>
      </c>
      <c r="F158" s="2">
        <v>1</v>
      </c>
      <c r="G158" s="66">
        <v>1</v>
      </c>
      <c r="H158" s="66">
        <v>1</v>
      </c>
      <c r="I158" s="1" t="s">
        <v>611</v>
      </c>
      <c r="J158" s="1" t="s">
        <v>612</v>
      </c>
      <c r="K158" s="1" t="s">
        <v>188</v>
      </c>
      <c r="L158" s="76" t="str">
        <f>IF(M158="","N",STEP!$J$22)</f>
        <v>Y</v>
      </c>
      <c r="M158" s="1" t="s">
        <v>161</v>
      </c>
      <c r="N158" s="1" t="s">
        <v>162</v>
      </c>
      <c r="O158" s="1">
        <v>2</v>
      </c>
      <c r="P158" s="1">
        <v>3</v>
      </c>
      <c r="Q158" s="185">
        <v>20190729</v>
      </c>
      <c r="R158" s="196">
        <v>43675</v>
      </c>
      <c r="S158" s="197">
        <f t="shared" si="188"/>
        <v>38</v>
      </c>
      <c r="T158" s="66">
        <f t="shared" si="189"/>
        <v>4</v>
      </c>
      <c r="U158" s="65">
        <v>20220114</v>
      </c>
      <c r="V158" s="70">
        <v>23.566500000000001</v>
      </c>
      <c r="W158" s="74">
        <f t="shared" si="219"/>
        <v>0.9113</v>
      </c>
      <c r="X158" s="70" cm="1">
        <f t="array" ref="X158">IF(U158="","",INDEX(STEP!$C:$C,MATCH('Position Control'!M158&amp;'Position Control'!P158,STEP!$A:$A&amp;STEP!$B:$B,0)))</f>
        <v>24.450199999999999</v>
      </c>
      <c r="Y158" s="74">
        <f t="shared" si="190"/>
        <v>8.8700000000000001E-2</v>
      </c>
      <c r="Z158" s="1">
        <v>7704</v>
      </c>
      <c r="AA158" s="112">
        <f>VLOOKUP(Z158,'WRK COMP'!$A$1:$E$17,5,FALSE)</f>
        <v>1.2449999999999999E-2</v>
      </c>
      <c r="AB158" s="76" t="s">
        <v>13</v>
      </c>
      <c r="AC158" s="68">
        <v>0</v>
      </c>
      <c r="AD158" s="209">
        <v>0</v>
      </c>
      <c r="AE158" s="209">
        <v>0</v>
      </c>
      <c r="AF158" s="209">
        <v>0</v>
      </c>
      <c r="AG158" s="209">
        <v>50</v>
      </c>
      <c r="AH158" s="68">
        <v>0</v>
      </c>
      <c r="AI158" s="68">
        <v>0</v>
      </c>
      <c r="AJ158" s="10" t="s">
        <v>14</v>
      </c>
      <c r="AK158" s="10" t="s">
        <v>15</v>
      </c>
      <c r="AL158" s="10" t="s">
        <v>16</v>
      </c>
      <c r="AM158" s="78">
        <f>IF(F158&gt;0.79,IF(ROUNDUP(IF(B158="FS",(V158*HRS!$B$9),(V158*HRS!$L$2))*2,-3)&gt;150000,150000,(ROUNDUP(IF(B158="FS",(V158*HRS!$B$9),(V158*HRS!$L$2))*2,-3))),0)</f>
        <v>129000</v>
      </c>
      <c r="AN158" s="188">
        <f t="shared" si="215"/>
        <v>65751</v>
      </c>
      <c r="AO158" s="77">
        <f>IF(L158="N",IF(B158="FS",ROUNDUP($V158*HRS!$B$9*'Position Control'!F158,0),ROUNDUP('Position Control'!$V158*HRS!$L$2*'Position Control'!F158,0)),IF('Position Control'!B158="FS",ROUNDUP(('Position Control'!V158*HRS!$B$9*'Position Control'!W158*'Position Control'!F158)+('Position Control'!X158*HRS!$B$9*'Position Control'!Y158*'Position Control'!F158),0),ROUNDUP(('Position Control'!V158*HRS!$L$2*'Position Control'!W158*'Position Control'!F158)+('Position Control'!X158*HRS!$L$2*'Position Control'!Y158*'Position Control'!F158),0)))*'Position Control'!H158</f>
        <v>64551</v>
      </c>
      <c r="AP158" s="77">
        <f t="shared" si="192"/>
        <v>0</v>
      </c>
      <c r="AQ158" s="77">
        <f t="shared" si="193"/>
        <v>0</v>
      </c>
      <c r="AR158" s="77">
        <f t="shared" si="194"/>
        <v>1200</v>
      </c>
      <c r="AS158" s="77">
        <v>0</v>
      </c>
      <c r="AT158" s="79">
        <f t="shared" si="195"/>
        <v>0</v>
      </c>
      <c r="AU158" s="77">
        <f t="shared" si="196"/>
        <v>0</v>
      </c>
      <c r="AV158" s="77">
        <v>0</v>
      </c>
      <c r="AW158" s="77">
        <f t="shared" si="197"/>
        <v>0</v>
      </c>
      <c r="AX158" s="77">
        <f t="shared" si="198"/>
        <v>0</v>
      </c>
      <c r="AY158" s="77">
        <f t="shared" si="199"/>
        <v>0</v>
      </c>
      <c r="AZ158" s="77">
        <f t="shared" si="200"/>
        <v>0</v>
      </c>
      <c r="BA158" s="77">
        <f t="shared" si="201"/>
        <v>0</v>
      </c>
      <c r="BB158" s="77">
        <f t="shared" si="202"/>
        <v>0</v>
      </c>
      <c r="BC158" s="77">
        <f t="shared" si="186"/>
        <v>0</v>
      </c>
      <c r="BD158" s="77">
        <f t="shared" si="218"/>
        <v>190</v>
      </c>
      <c r="BE158" s="77">
        <f t="shared" si="216"/>
        <v>5330</v>
      </c>
      <c r="BF158" s="77">
        <f t="shared" si="204"/>
        <v>154.80000000000001</v>
      </c>
      <c r="BG158" s="77">
        <f>VLOOKUP($AJ158,BENE!$I$2:$N$9,6,FALSE)*'Position Control'!$H158</f>
        <v>389</v>
      </c>
      <c r="BH158" s="77">
        <f>VLOOKUP($AK158,BENE!$A$2:$F$19,6,FALSE)*'Position Control'!$H158</f>
        <v>6142</v>
      </c>
      <c r="BI158" s="77">
        <f>VLOOKUP($AK158,BENE!$A$2:$G$19,7,FALSE)*'Position Control'!$H158</f>
        <v>1000</v>
      </c>
      <c r="BJ158" s="77">
        <f>VLOOKUP($AL158,BENE!$P$2:$S$6,4,FALSE)*'Position Control'!$H158</f>
        <v>240</v>
      </c>
      <c r="BK158" s="77">
        <f>IF($F158&gt;HRS!$H$2,ROUNDUP(((($AN158+$BE158)*$BK$3)/12*9)+(($AN158+$BE158)*HRS!$B$10/12*3),0),0)*$H158</f>
        <v>11985</v>
      </c>
      <c r="BL158" s="80">
        <f t="shared" si="205"/>
        <v>819</v>
      </c>
      <c r="BM158" s="77">
        <f t="shared" si="206"/>
        <v>144</v>
      </c>
      <c r="BN158" s="77">
        <f t="shared" si="207"/>
        <v>954</v>
      </c>
      <c r="BO158" s="77">
        <f t="shared" si="208"/>
        <v>118</v>
      </c>
      <c r="BP158" s="77">
        <f t="shared" si="209"/>
        <v>0</v>
      </c>
      <c r="BQ158" s="77">
        <v>0</v>
      </c>
      <c r="BR158" s="80">
        <f t="shared" si="217"/>
        <v>93216.8</v>
      </c>
    </row>
    <row r="159" spans="1:70" outlineLevel="1" x14ac:dyDescent="0.35">
      <c r="A159" s="1" t="s">
        <v>6</v>
      </c>
      <c r="B159" s="1" t="s">
        <v>156</v>
      </c>
      <c r="C159" s="1" t="s">
        <v>8</v>
      </c>
      <c r="D159" s="1" t="s">
        <v>140</v>
      </c>
      <c r="E159" s="1" t="s">
        <v>89</v>
      </c>
      <c r="F159" s="2">
        <v>1</v>
      </c>
      <c r="G159" s="66">
        <v>1</v>
      </c>
      <c r="H159" s="66">
        <v>1</v>
      </c>
      <c r="I159" s="1" t="s">
        <v>611</v>
      </c>
      <c r="J159" s="1" t="s">
        <v>612</v>
      </c>
      <c r="K159" s="1" t="s">
        <v>189</v>
      </c>
      <c r="L159" s="76" t="str">
        <f>IF(M159="","N",STEP!$J$22)</f>
        <v>Y</v>
      </c>
      <c r="M159" s="1" t="s">
        <v>161</v>
      </c>
      <c r="N159" s="1" t="s">
        <v>162</v>
      </c>
      <c r="O159" s="1">
        <v>4</v>
      </c>
      <c r="P159" s="1">
        <v>5</v>
      </c>
      <c r="Q159" s="185">
        <v>20180613</v>
      </c>
      <c r="R159" s="196">
        <v>43264</v>
      </c>
      <c r="S159" s="197">
        <f t="shared" si="188"/>
        <v>51</v>
      </c>
      <c r="T159" s="66">
        <f t="shared" si="189"/>
        <v>5</v>
      </c>
      <c r="U159" s="65">
        <v>20220613</v>
      </c>
      <c r="V159" s="70">
        <v>25.367100000000001</v>
      </c>
      <c r="W159" s="74">
        <f t="shared" si="219"/>
        <v>0.96120000000000005</v>
      </c>
      <c r="X159" s="70" cm="1">
        <f t="array" ref="X159">IF(U159="","",INDEX(STEP!$C:$C,MATCH('Position Control'!M159&amp;'Position Control'!P159,STEP!$A:$A&amp;STEP!$B:$B,0)))</f>
        <v>26.318300000000001</v>
      </c>
      <c r="Y159" s="74">
        <f t="shared" si="190"/>
        <v>3.8800000000000001E-2</v>
      </c>
      <c r="Z159" s="1">
        <v>7704</v>
      </c>
      <c r="AA159" s="112">
        <f>VLOOKUP(Z159,'WRK COMP'!$A$1:$E$17,5,FALSE)</f>
        <v>1.2449999999999999E-2</v>
      </c>
      <c r="AB159" s="76" t="s">
        <v>13</v>
      </c>
      <c r="AC159" s="68">
        <v>0</v>
      </c>
      <c r="AD159" s="209">
        <v>62.5</v>
      </c>
      <c r="AE159" s="209">
        <v>50</v>
      </c>
      <c r="AF159" s="209">
        <v>0</v>
      </c>
      <c r="AG159" s="209">
        <v>50</v>
      </c>
      <c r="AH159" s="68">
        <v>0</v>
      </c>
      <c r="AI159" s="68">
        <v>0</v>
      </c>
      <c r="AJ159" s="10" t="s">
        <v>18</v>
      </c>
      <c r="AK159" s="10" t="s">
        <v>29</v>
      </c>
      <c r="AL159" s="10" t="s">
        <v>58</v>
      </c>
      <c r="AM159" s="78">
        <f>IF(F159&gt;0.79,IF(ROUNDUP(IF(B159="FS",(V159*HRS!$B$9),(V159*HRS!$L$2))*2,-3)&gt;150000,150000,(ROUNDUP(IF(B159="FS",(V159*HRS!$B$9),(V159*HRS!$L$2))*2,-3))),0)</f>
        <v>139000</v>
      </c>
      <c r="AN159" s="188">
        <f t="shared" si="215"/>
        <v>73253</v>
      </c>
      <c r="AO159" s="77">
        <f>IF(L159="N",IF(B159="FS",ROUNDUP($V159*HRS!$B$9*'Position Control'!F159,0),ROUNDUP('Position Control'!$V159*HRS!$L$2*'Position Control'!F159,0)),IF('Position Control'!B159="FS",ROUNDUP(('Position Control'!V159*HRS!$B$9*'Position Control'!W159*'Position Control'!F159)+('Position Control'!X159*HRS!$B$9*'Position Control'!Y159*'Position Control'!F159),0),ROUNDUP(('Position Control'!V159*HRS!$L$2*'Position Control'!W159*'Position Control'!F159)+('Position Control'!X159*HRS!$L$2*'Position Control'!Y159*'Position Control'!F159),0)))*'Position Control'!H159</f>
        <v>69353</v>
      </c>
      <c r="AP159" s="77">
        <f t="shared" si="192"/>
        <v>0</v>
      </c>
      <c r="AQ159" s="77">
        <f t="shared" si="193"/>
        <v>1500</v>
      </c>
      <c r="AR159" s="77">
        <f t="shared" si="194"/>
        <v>1200</v>
      </c>
      <c r="AS159" s="77">
        <v>0</v>
      </c>
      <c r="AT159" s="79">
        <f t="shared" si="195"/>
        <v>0</v>
      </c>
      <c r="AU159" s="77">
        <f t="shared" si="196"/>
        <v>0</v>
      </c>
      <c r="AV159" s="77">
        <v>0</v>
      </c>
      <c r="AW159" s="77">
        <f t="shared" si="197"/>
        <v>1200</v>
      </c>
      <c r="AX159" s="77">
        <f t="shared" si="198"/>
        <v>0</v>
      </c>
      <c r="AY159" s="77">
        <f t="shared" si="199"/>
        <v>0</v>
      </c>
      <c r="AZ159" s="77">
        <f t="shared" si="200"/>
        <v>0</v>
      </c>
      <c r="BA159" s="77">
        <f t="shared" si="201"/>
        <v>0</v>
      </c>
      <c r="BB159" s="77">
        <f t="shared" si="202"/>
        <v>0</v>
      </c>
      <c r="BC159" s="77">
        <f t="shared" si="186"/>
        <v>0</v>
      </c>
      <c r="BD159" s="77">
        <f t="shared" si="218"/>
        <v>255</v>
      </c>
      <c r="BE159" s="77">
        <f t="shared" si="216"/>
        <v>5720</v>
      </c>
      <c r="BF159" s="77">
        <f t="shared" si="204"/>
        <v>166.8</v>
      </c>
      <c r="BG159" s="77">
        <f>VLOOKUP($AJ159,BENE!$I$2:$N$9,6,FALSE)*'Position Control'!$H159</f>
        <v>760</v>
      </c>
      <c r="BH159" s="77">
        <f>VLOOKUP($AK159,BENE!$A$2:$F$19,6,FALSE)*'Position Control'!$H159</f>
        <v>15700</v>
      </c>
      <c r="BI159" s="77">
        <f>VLOOKUP($AK159,BENE!$A$2:$G$19,7,FALSE)*'Position Control'!$H159</f>
        <v>1500</v>
      </c>
      <c r="BJ159" s="77">
        <f>VLOOKUP($AL159,BENE!$P$2:$S$6,4,FALSE)*'Position Control'!$H159</f>
        <v>444</v>
      </c>
      <c r="BK159" s="77">
        <f>IF($F159&gt;HRS!$H$2,ROUNDUP(((($AN159+$BE159)*$BK$3)/12*9)+(($AN159+$BE159)*HRS!$B$10/12*3),0),0)*$H159</f>
        <v>13315</v>
      </c>
      <c r="BL159" s="80">
        <f t="shared" si="205"/>
        <v>912</v>
      </c>
      <c r="BM159" s="77">
        <f t="shared" si="206"/>
        <v>144</v>
      </c>
      <c r="BN159" s="77">
        <f t="shared" si="207"/>
        <v>1063</v>
      </c>
      <c r="BO159" s="77">
        <f t="shared" si="208"/>
        <v>132</v>
      </c>
      <c r="BP159" s="77">
        <f t="shared" si="209"/>
        <v>0</v>
      </c>
      <c r="BQ159" s="77">
        <v>0</v>
      </c>
      <c r="BR159" s="80">
        <f t="shared" si="217"/>
        <v>113364.8</v>
      </c>
    </row>
    <row r="160" spans="1:70" outlineLevel="1" x14ac:dyDescent="0.35">
      <c r="A160" s="1" t="s">
        <v>6</v>
      </c>
      <c r="B160" s="1" t="s">
        <v>156</v>
      </c>
      <c r="C160" s="1" t="s">
        <v>8</v>
      </c>
      <c r="D160" s="1" t="s">
        <v>140</v>
      </c>
      <c r="E160" s="1" t="s">
        <v>89</v>
      </c>
      <c r="F160" s="2">
        <v>1</v>
      </c>
      <c r="G160" s="66">
        <v>1</v>
      </c>
      <c r="H160" s="66">
        <v>1</v>
      </c>
      <c r="I160" s="1" t="s">
        <v>611</v>
      </c>
      <c r="J160" s="1" t="s">
        <v>612</v>
      </c>
      <c r="K160" s="1" t="s">
        <v>190</v>
      </c>
      <c r="L160" s="76" t="str">
        <f>IF(M160="","N",STEP!$J$22)</f>
        <v>Y</v>
      </c>
      <c r="M160" s="1" t="s">
        <v>161</v>
      </c>
      <c r="N160" s="1" t="s">
        <v>162</v>
      </c>
      <c r="O160" s="1">
        <v>7</v>
      </c>
      <c r="P160" s="1">
        <v>7</v>
      </c>
      <c r="Q160" s="185">
        <v>20160919</v>
      </c>
      <c r="R160" s="196">
        <v>42632</v>
      </c>
      <c r="S160" s="197">
        <f t="shared" si="188"/>
        <v>72</v>
      </c>
      <c r="T160" s="66">
        <f t="shared" si="189"/>
        <v>7</v>
      </c>
      <c r="U160" s="65">
        <v>20220128</v>
      </c>
      <c r="V160" s="70">
        <v>28.3292</v>
      </c>
      <c r="W160" s="74">
        <f t="shared" si="219"/>
        <v>0.91269999999999996</v>
      </c>
      <c r="X160" s="70" cm="1">
        <f t="array" ref="X160">IF(U160="","",INDEX(STEP!$C:$C,MATCH('Position Control'!M160&amp;'Position Control'!P160,STEP!$A:$A&amp;STEP!$B:$B,0)))</f>
        <v>28.3292</v>
      </c>
      <c r="Y160" s="74">
        <f t="shared" si="190"/>
        <v>8.7300000000000003E-2</v>
      </c>
      <c r="Z160" s="1">
        <v>7704</v>
      </c>
      <c r="AA160" s="112">
        <f>VLOOKUP(Z160,'WRK COMP'!$A$1:$E$17,5,FALSE)</f>
        <v>1.2449999999999999E-2</v>
      </c>
      <c r="AB160" s="76" t="s">
        <v>13</v>
      </c>
      <c r="AC160" s="68">
        <v>0</v>
      </c>
      <c r="AD160" s="209">
        <v>62.5</v>
      </c>
      <c r="AE160" s="209">
        <v>0</v>
      </c>
      <c r="AF160" s="209">
        <v>0</v>
      </c>
      <c r="AG160" s="209">
        <v>50</v>
      </c>
      <c r="AH160" s="68">
        <v>0</v>
      </c>
      <c r="AI160" s="68">
        <v>0</v>
      </c>
      <c r="AJ160" s="10" t="s">
        <v>14</v>
      </c>
      <c r="AK160" s="10" t="s">
        <v>43</v>
      </c>
      <c r="AL160" s="10" t="s">
        <v>49</v>
      </c>
      <c r="AM160" s="78">
        <f>IF(F160&gt;0.79,IF(ROUNDUP(IF(B160="FS",(V160*HRS!$B$9),(V160*HRS!$L$2))*2,-3)&gt;150000,150000,(ROUNDUP(IF(B160="FS",(V160*HRS!$B$9),(V160*HRS!$L$2))*2,-3))),0)</f>
        <v>150000</v>
      </c>
      <c r="AN160" s="188">
        <f t="shared" si="215"/>
        <v>80039</v>
      </c>
      <c r="AO160" s="77">
        <f>IF(L160="N",IF(B160="FS",ROUNDUP($V160*HRS!$B$9*'Position Control'!F160,0),ROUNDUP('Position Control'!$V160*HRS!$L$2*'Position Control'!F160,0)),IF('Position Control'!B160="FS",ROUNDUP(('Position Control'!V160*HRS!$B$9*'Position Control'!W160*'Position Control'!F160)+('Position Control'!X160*HRS!$B$9*'Position Control'!Y160*'Position Control'!F160),0),ROUNDUP(('Position Control'!V160*HRS!$L$2*'Position Control'!W160*'Position Control'!F160)+('Position Control'!X160*HRS!$L$2*'Position Control'!Y160*'Position Control'!F160),0)))*'Position Control'!H160</f>
        <v>77339</v>
      </c>
      <c r="AP160" s="77">
        <f t="shared" si="192"/>
        <v>0</v>
      </c>
      <c r="AQ160" s="77">
        <f t="shared" si="193"/>
        <v>1500</v>
      </c>
      <c r="AR160" s="77">
        <f t="shared" si="194"/>
        <v>1200</v>
      </c>
      <c r="AS160" s="77">
        <v>0</v>
      </c>
      <c r="AT160" s="79">
        <f t="shared" si="195"/>
        <v>0</v>
      </c>
      <c r="AU160" s="77">
        <f t="shared" si="196"/>
        <v>0</v>
      </c>
      <c r="AV160" s="77">
        <v>0</v>
      </c>
      <c r="AW160" s="77">
        <f t="shared" si="197"/>
        <v>0</v>
      </c>
      <c r="AX160" s="77">
        <f t="shared" si="198"/>
        <v>0</v>
      </c>
      <c r="AY160" s="77">
        <f t="shared" si="199"/>
        <v>0</v>
      </c>
      <c r="AZ160" s="77">
        <f t="shared" si="200"/>
        <v>0</v>
      </c>
      <c r="BA160" s="77">
        <f t="shared" si="201"/>
        <v>0</v>
      </c>
      <c r="BB160" s="77">
        <f t="shared" si="202"/>
        <v>0</v>
      </c>
      <c r="BC160" s="77">
        <f t="shared" si="186"/>
        <v>0</v>
      </c>
      <c r="BD160" s="77">
        <f t="shared" si="218"/>
        <v>360</v>
      </c>
      <c r="BE160" s="77">
        <f t="shared" si="216"/>
        <v>6380</v>
      </c>
      <c r="BF160" s="77">
        <f t="shared" si="204"/>
        <v>180</v>
      </c>
      <c r="BG160" s="77">
        <f>VLOOKUP($AJ160,BENE!$I$2:$N$9,6,FALSE)*'Position Control'!$H160</f>
        <v>389</v>
      </c>
      <c r="BH160" s="77">
        <f>VLOOKUP($AK160,BENE!$A$2:$F$19,6,FALSE)*'Position Control'!$H160</f>
        <v>6870</v>
      </c>
      <c r="BI160" s="77">
        <f>VLOOKUP($AK160,BENE!$A$2:$G$19,7,FALSE)*'Position Control'!$H160</f>
        <v>0</v>
      </c>
      <c r="BJ160" s="77">
        <f>VLOOKUP($AL160,BENE!$P$2:$S$6,4,FALSE)*'Position Control'!$H160</f>
        <v>0</v>
      </c>
      <c r="BK160" s="77">
        <f>IF($F160&gt;HRS!$H$2,ROUNDUP(((($AN160+$BE160)*$BK$3)/12*9)+(($AN160+$BE160)*HRS!$B$10/12*3),0),0)*$H160</f>
        <v>14571</v>
      </c>
      <c r="BL160" s="80">
        <f t="shared" si="205"/>
        <v>997</v>
      </c>
      <c r="BM160" s="77">
        <f t="shared" si="206"/>
        <v>144</v>
      </c>
      <c r="BN160" s="77">
        <f t="shared" si="207"/>
        <v>1161</v>
      </c>
      <c r="BO160" s="77">
        <f t="shared" si="208"/>
        <v>144</v>
      </c>
      <c r="BP160" s="77">
        <f t="shared" si="209"/>
        <v>0</v>
      </c>
      <c r="BQ160" s="77">
        <v>0</v>
      </c>
      <c r="BR160" s="80">
        <f t="shared" si="217"/>
        <v>111235</v>
      </c>
    </row>
    <row r="161" spans="1:70" outlineLevel="1" x14ac:dyDescent="0.35">
      <c r="A161" s="1" t="s">
        <v>6</v>
      </c>
      <c r="B161" s="1" t="s">
        <v>156</v>
      </c>
      <c r="C161" s="1" t="s">
        <v>8</v>
      </c>
      <c r="D161" s="1" t="s">
        <v>140</v>
      </c>
      <c r="E161" s="1" t="s">
        <v>89</v>
      </c>
      <c r="F161" s="2">
        <v>1</v>
      </c>
      <c r="G161" s="66">
        <v>1</v>
      </c>
      <c r="H161" s="66">
        <v>1</v>
      </c>
      <c r="I161" s="1" t="s">
        <v>611</v>
      </c>
      <c r="J161" s="1" t="s">
        <v>612</v>
      </c>
      <c r="K161" s="1" t="s">
        <v>194</v>
      </c>
      <c r="L161" s="76" t="str">
        <f>IF(M161="","N",STEP!$J$22)</f>
        <v>Y</v>
      </c>
      <c r="M161" s="1" t="s">
        <v>161</v>
      </c>
      <c r="N161" s="1" t="s">
        <v>162</v>
      </c>
      <c r="O161" s="1">
        <v>7</v>
      </c>
      <c r="P161" s="1">
        <v>7</v>
      </c>
      <c r="Q161" s="185">
        <v>20150923</v>
      </c>
      <c r="R161" s="196">
        <v>42270</v>
      </c>
      <c r="S161" s="197">
        <f t="shared" si="188"/>
        <v>84</v>
      </c>
      <c r="T161" s="66">
        <f t="shared" si="189"/>
        <v>8</v>
      </c>
      <c r="U161" s="65">
        <v>20211007</v>
      </c>
      <c r="V161" s="70">
        <v>28.3292</v>
      </c>
      <c r="W161" s="74">
        <f t="shared" si="219"/>
        <v>6.0000000000004494E-4</v>
      </c>
      <c r="X161" s="70" cm="1">
        <f t="array" ref="X161">IF(U161="","",INDEX(STEP!$C:$C,MATCH('Position Control'!M161&amp;'Position Control'!P161,STEP!$A:$A&amp;STEP!$B:$B,0)))</f>
        <v>28.3292</v>
      </c>
      <c r="Y161" s="74">
        <f t="shared" si="190"/>
        <v>0.99939999999999996</v>
      </c>
      <c r="Z161" s="1">
        <v>7704</v>
      </c>
      <c r="AA161" s="112">
        <f>VLOOKUP(Z161,'WRK COMP'!$A$1:$E$17,5,FALSE)</f>
        <v>1.2449999999999999E-2</v>
      </c>
      <c r="AB161" s="76" t="s">
        <v>13</v>
      </c>
      <c r="AC161" s="68">
        <v>0</v>
      </c>
      <c r="AD161" s="209">
        <v>100</v>
      </c>
      <c r="AE161" s="209">
        <v>50</v>
      </c>
      <c r="AF161" s="209">
        <v>0</v>
      </c>
      <c r="AG161" s="209">
        <v>50</v>
      </c>
      <c r="AH161" s="68">
        <v>0</v>
      </c>
      <c r="AI161" s="68">
        <v>0</v>
      </c>
      <c r="AJ161" s="10" t="s">
        <v>18</v>
      </c>
      <c r="AK161" s="10" t="s">
        <v>78</v>
      </c>
      <c r="AL161" s="10" t="s">
        <v>49</v>
      </c>
      <c r="AM161" s="78">
        <f>IF(F161&gt;0.79,IF(ROUNDUP(IF(B161="FS",(V161*HRS!$B$9),(V161*HRS!$L$2))*2,-3)&gt;150000,150000,(ROUNDUP(IF(B161="FS",(V161*HRS!$B$9),(V161*HRS!$L$2))*2,-3))),0)</f>
        <v>150000</v>
      </c>
      <c r="AN161" s="188">
        <f t="shared" si="215"/>
        <v>82139</v>
      </c>
      <c r="AO161" s="77">
        <f>IF(L161="N",IF(B161="FS",ROUNDUP($V161*HRS!$B$9*'Position Control'!F161,0),ROUNDUP('Position Control'!$V161*HRS!$L$2*'Position Control'!F161,0)),IF('Position Control'!B161="FS",ROUNDUP(('Position Control'!V161*HRS!$B$9*'Position Control'!W161*'Position Control'!F161)+('Position Control'!X161*HRS!$B$9*'Position Control'!Y161*'Position Control'!F161),0),ROUNDUP(('Position Control'!V161*HRS!$L$2*'Position Control'!W161*'Position Control'!F161)+('Position Control'!X161*HRS!$L$2*'Position Control'!Y161*'Position Control'!F161),0)))*'Position Control'!H161</f>
        <v>77339</v>
      </c>
      <c r="AP161" s="77">
        <f t="shared" si="192"/>
        <v>0</v>
      </c>
      <c r="AQ161" s="77">
        <f t="shared" si="193"/>
        <v>2400</v>
      </c>
      <c r="AR161" s="77">
        <f t="shared" si="194"/>
        <v>1200</v>
      </c>
      <c r="AS161" s="77">
        <v>0</v>
      </c>
      <c r="AT161" s="79">
        <f t="shared" si="195"/>
        <v>0</v>
      </c>
      <c r="AU161" s="77">
        <f t="shared" si="196"/>
        <v>0</v>
      </c>
      <c r="AV161" s="77">
        <v>0</v>
      </c>
      <c r="AW161" s="77">
        <f t="shared" si="197"/>
        <v>1200</v>
      </c>
      <c r="AX161" s="77">
        <f t="shared" si="198"/>
        <v>0</v>
      </c>
      <c r="AY161" s="77">
        <f t="shared" si="199"/>
        <v>0</v>
      </c>
      <c r="AZ161" s="77">
        <f t="shared" si="200"/>
        <v>0</v>
      </c>
      <c r="BA161" s="77">
        <f t="shared" si="201"/>
        <v>0</v>
      </c>
      <c r="BB161" s="77">
        <f t="shared" si="202"/>
        <v>0</v>
      </c>
      <c r="BC161" s="77">
        <f t="shared" si="186"/>
        <v>0</v>
      </c>
      <c r="BD161" s="77">
        <f t="shared" si="218"/>
        <v>420</v>
      </c>
      <c r="BE161" s="77">
        <f t="shared" si="216"/>
        <v>6380</v>
      </c>
      <c r="BF161" s="77">
        <f t="shared" si="204"/>
        <v>180</v>
      </c>
      <c r="BG161" s="77">
        <f>VLOOKUP($AJ161,BENE!$I$2:$N$9,6,FALSE)*'Position Control'!$H161</f>
        <v>760</v>
      </c>
      <c r="BH161" s="77">
        <f>VLOOKUP($AK161,BENE!$A$2:$F$19,6,FALSE)*'Position Control'!$H161</f>
        <v>18024</v>
      </c>
      <c r="BI161" s="77">
        <f>VLOOKUP($AK161,BENE!$A$2:$G$19,7,FALSE)*'Position Control'!$H161</f>
        <v>0</v>
      </c>
      <c r="BJ161" s="77">
        <f>VLOOKUP($AL161,BENE!$P$2:$S$6,4,FALSE)*'Position Control'!$H161</f>
        <v>0</v>
      </c>
      <c r="BK161" s="77">
        <f>IF($F161&gt;HRS!$H$2,ROUNDUP(((($AN161+$BE161)*$BK$3)/12*9)+(($AN161+$BE161)*HRS!$B$10/12*3),0),0)*$H161</f>
        <v>14925</v>
      </c>
      <c r="BL161" s="80">
        <f t="shared" si="205"/>
        <v>1023</v>
      </c>
      <c r="BM161" s="77">
        <f t="shared" si="206"/>
        <v>144</v>
      </c>
      <c r="BN161" s="77">
        <f t="shared" si="207"/>
        <v>1192</v>
      </c>
      <c r="BO161" s="77">
        <f t="shared" si="208"/>
        <v>148</v>
      </c>
      <c r="BP161" s="77">
        <f t="shared" si="209"/>
        <v>0</v>
      </c>
      <c r="BQ161" s="77">
        <v>0</v>
      </c>
      <c r="BR161" s="80">
        <f t="shared" si="217"/>
        <v>125335</v>
      </c>
    </row>
    <row r="162" spans="1:70" outlineLevel="1" x14ac:dyDescent="0.35">
      <c r="A162" s="1" t="s">
        <v>6</v>
      </c>
      <c r="B162" s="1" t="s">
        <v>156</v>
      </c>
      <c r="C162" s="1" t="s">
        <v>8</v>
      </c>
      <c r="D162" s="1" t="s">
        <v>140</v>
      </c>
      <c r="E162" s="1" t="s">
        <v>89</v>
      </c>
      <c r="F162" s="2">
        <v>1</v>
      </c>
      <c r="G162" s="66">
        <v>1</v>
      </c>
      <c r="H162" s="66">
        <v>1</v>
      </c>
      <c r="I162" s="1" t="s">
        <v>611</v>
      </c>
      <c r="J162" s="1" t="s">
        <v>612</v>
      </c>
      <c r="K162" s="1" t="s">
        <v>195</v>
      </c>
      <c r="L162" s="76" t="str">
        <f>IF(M162="","N",STEP!$J$22)</f>
        <v>Y</v>
      </c>
      <c r="M162" s="1" t="s">
        <v>161</v>
      </c>
      <c r="N162" s="1" t="s">
        <v>162</v>
      </c>
      <c r="O162" s="1">
        <v>7</v>
      </c>
      <c r="P162" s="1">
        <v>7</v>
      </c>
      <c r="Q162" s="185">
        <v>20000217</v>
      </c>
      <c r="R162" s="196">
        <v>36573</v>
      </c>
      <c r="S162" s="197">
        <f t="shared" si="188"/>
        <v>271</v>
      </c>
      <c r="T162" s="66">
        <f t="shared" si="189"/>
        <v>23</v>
      </c>
      <c r="U162" s="65">
        <v>20211007</v>
      </c>
      <c r="V162" s="70">
        <v>28.3292</v>
      </c>
      <c r="W162" s="74">
        <f t="shared" si="219"/>
        <v>6.0000000000004494E-4</v>
      </c>
      <c r="X162" s="70" cm="1">
        <f t="array" ref="X162">IF(U162="","",INDEX(STEP!$C:$C,MATCH('Position Control'!M162&amp;'Position Control'!P162,STEP!$A:$A&amp;STEP!$B:$B,0)))</f>
        <v>28.3292</v>
      </c>
      <c r="Y162" s="74">
        <f t="shared" si="190"/>
        <v>0.99939999999999996</v>
      </c>
      <c r="Z162" s="1">
        <v>7704</v>
      </c>
      <c r="AA162" s="112">
        <f>VLOOKUP(Z162,'WRK COMP'!$A$1:$E$17,5,FALSE)</f>
        <v>1.2449999999999999E-2</v>
      </c>
      <c r="AB162" s="76" t="s">
        <v>13</v>
      </c>
      <c r="AC162" s="68">
        <v>0</v>
      </c>
      <c r="AD162" s="209">
        <v>62.5</v>
      </c>
      <c r="AE162" s="209">
        <v>0</v>
      </c>
      <c r="AF162" s="209">
        <v>0</v>
      </c>
      <c r="AG162" s="209">
        <v>0</v>
      </c>
      <c r="AH162" s="68">
        <v>0</v>
      </c>
      <c r="AI162" s="68">
        <v>0</v>
      </c>
      <c r="AJ162" s="10" t="s">
        <v>28</v>
      </c>
      <c r="AK162" s="10" t="s">
        <v>15</v>
      </c>
      <c r="AL162" s="10" t="s">
        <v>16</v>
      </c>
      <c r="AM162" s="78">
        <f>IF(F162&gt;0.79,IF(ROUNDUP(IF(B162="FS",(V162*HRS!$B$9),(V162*HRS!$L$2))*2,-3)&gt;150000,150000,(ROUNDUP(IF(B162="FS",(V162*HRS!$B$9),(V162*HRS!$L$2))*2,-3))),0)</f>
        <v>150000</v>
      </c>
      <c r="AN162" s="188">
        <f t="shared" si="215"/>
        <v>78839</v>
      </c>
      <c r="AO162" s="77">
        <f>IF(L162="N",IF(B162="FS",ROUNDUP($V162*HRS!$B$9*'Position Control'!F162,0),ROUNDUP('Position Control'!$V162*HRS!$L$2*'Position Control'!F162,0)),IF('Position Control'!B162="FS",ROUNDUP(('Position Control'!V162*HRS!$B$9*'Position Control'!W162*'Position Control'!F162)+('Position Control'!X162*HRS!$B$9*'Position Control'!Y162*'Position Control'!F162),0),ROUNDUP(('Position Control'!V162*HRS!$L$2*'Position Control'!W162*'Position Control'!F162)+('Position Control'!X162*HRS!$L$2*'Position Control'!Y162*'Position Control'!F162),0)))*'Position Control'!H162</f>
        <v>77339</v>
      </c>
      <c r="AP162" s="77">
        <f t="shared" si="192"/>
        <v>0</v>
      </c>
      <c r="AQ162" s="77">
        <f t="shared" si="193"/>
        <v>1500</v>
      </c>
      <c r="AR162" s="77">
        <f t="shared" si="194"/>
        <v>0</v>
      </c>
      <c r="AS162" s="77">
        <v>0</v>
      </c>
      <c r="AT162" s="79">
        <f t="shared" si="195"/>
        <v>0</v>
      </c>
      <c r="AU162" s="77">
        <f t="shared" si="196"/>
        <v>0</v>
      </c>
      <c r="AV162" s="77">
        <v>0</v>
      </c>
      <c r="AW162" s="77">
        <f t="shared" si="197"/>
        <v>0</v>
      </c>
      <c r="AX162" s="77">
        <f t="shared" si="198"/>
        <v>0</v>
      </c>
      <c r="AY162" s="77">
        <f t="shared" si="199"/>
        <v>0</v>
      </c>
      <c r="AZ162" s="77">
        <f t="shared" si="200"/>
        <v>0</v>
      </c>
      <c r="BA162" s="77">
        <f t="shared" si="201"/>
        <v>0</v>
      </c>
      <c r="BB162" s="77">
        <f t="shared" si="202"/>
        <v>0</v>
      </c>
      <c r="BC162" s="77">
        <f t="shared" si="186"/>
        <v>0</v>
      </c>
      <c r="BD162" s="77">
        <f t="shared" si="218"/>
        <v>1200</v>
      </c>
      <c r="BE162" s="77">
        <f t="shared" si="216"/>
        <v>6380</v>
      </c>
      <c r="BF162" s="77">
        <f t="shared" si="204"/>
        <v>180</v>
      </c>
      <c r="BG162" s="77">
        <f>VLOOKUP($AJ162,BENE!$I$2:$N$9,6,FALSE)*'Position Control'!$H162</f>
        <v>154</v>
      </c>
      <c r="BH162" s="77">
        <f>VLOOKUP($AK162,BENE!$A$2:$F$19,6,FALSE)*'Position Control'!$H162</f>
        <v>6142</v>
      </c>
      <c r="BI162" s="77">
        <f>VLOOKUP($AK162,BENE!$A$2:$G$19,7,FALSE)*'Position Control'!$H162</f>
        <v>1000</v>
      </c>
      <c r="BJ162" s="77">
        <f>VLOOKUP($AL162,BENE!$P$2:$S$6,4,FALSE)*'Position Control'!$H162</f>
        <v>240</v>
      </c>
      <c r="BK162" s="77">
        <f>IF($F162&gt;HRS!$H$2,ROUNDUP(((($AN162+$BE162)*$BK$3)/12*9)+(($AN162+$BE162)*HRS!$B$10/12*3),0),0)*$H162</f>
        <v>14368</v>
      </c>
      <c r="BL162" s="80">
        <f t="shared" si="205"/>
        <v>982</v>
      </c>
      <c r="BM162" s="77">
        <f t="shared" si="206"/>
        <v>144</v>
      </c>
      <c r="BN162" s="77">
        <f t="shared" si="207"/>
        <v>1144</v>
      </c>
      <c r="BO162" s="77">
        <f t="shared" si="208"/>
        <v>142</v>
      </c>
      <c r="BP162" s="77">
        <f t="shared" si="209"/>
        <v>1750</v>
      </c>
      <c r="BQ162" s="77">
        <v>0</v>
      </c>
      <c r="BR162" s="80">
        <f t="shared" si="217"/>
        <v>112665</v>
      </c>
    </row>
    <row r="163" spans="1:70" outlineLevel="1" x14ac:dyDescent="0.35">
      <c r="A163" s="1" t="s">
        <v>6</v>
      </c>
      <c r="B163" s="1" t="s">
        <v>156</v>
      </c>
      <c r="C163" s="1" t="s">
        <v>8</v>
      </c>
      <c r="D163" s="1" t="s">
        <v>140</v>
      </c>
      <c r="E163" s="1" t="s">
        <v>89</v>
      </c>
      <c r="F163" s="2">
        <v>1</v>
      </c>
      <c r="G163" s="66">
        <v>1</v>
      </c>
      <c r="H163" s="66">
        <v>1</v>
      </c>
      <c r="I163" s="1" t="s">
        <v>611</v>
      </c>
      <c r="J163" s="1" t="s">
        <v>612</v>
      </c>
      <c r="K163" s="1" t="s">
        <v>196</v>
      </c>
      <c r="L163" s="76" t="str">
        <f>IF(M163="","N",STEP!$J$22)</f>
        <v>Y</v>
      </c>
      <c r="M163" s="1" t="s">
        <v>161</v>
      </c>
      <c r="N163" s="1" t="s">
        <v>162</v>
      </c>
      <c r="O163" s="1">
        <v>7</v>
      </c>
      <c r="P163" s="1">
        <v>7</v>
      </c>
      <c r="Q163" s="185">
        <v>20160425</v>
      </c>
      <c r="R163" s="196">
        <v>42485</v>
      </c>
      <c r="S163" s="197">
        <f t="shared" si="188"/>
        <v>77</v>
      </c>
      <c r="T163" s="66">
        <f t="shared" si="189"/>
        <v>7</v>
      </c>
      <c r="U163" s="65">
        <v>20211007</v>
      </c>
      <c r="V163" s="70">
        <v>28.3292</v>
      </c>
      <c r="W163" s="74">
        <f t="shared" si="219"/>
        <v>6.0000000000004494E-4</v>
      </c>
      <c r="X163" s="70" cm="1">
        <f t="array" ref="X163">IF(U163="","",INDEX(STEP!$C:$C,MATCH('Position Control'!M163&amp;'Position Control'!P163,STEP!$A:$A&amp;STEP!$B:$B,0)))</f>
        <v>28.3292</v>
      </c>
      <c r="Y163" s="74">
        <f t="shared" si="190"/>
        <v>0.99939999999999996</v>
      </c>
      <c r="Z163" s="1">
        <v>7704</v>
      </c>
      <c r="AA163" s="112">
        <f>VLOOKUP(Z163,'WRK COMP'!$A$1:$E$17,5,FALSE)</f>
        <v>1.2449999999999999E-2</v>
      </c>
      <c r="AB163" s="76" t="s">
        <v>13</v>
      </c>
      <c r="AC163" s="68">
        <v>0</v>
      </c>
      <c r="AD163" s="209">
        <v>75</v>
      </c>
      <c r="AE163" s="209">
        <v>50</v>
      </c>
      <c r="AF163" s="209">
        <v>0</v>
      </c>
      <c r="AG163" s="209">
        <v>50</v>
      </c>
      <c r="AH163" s="68">
        <v>0</v>
      </c>
      <c r="AI163" s="68">
        <v>0</v>
      </c>
      <c r="AJ163" s="10" t="s">
        <v>14</v>
      </c>
      <c r="AK163" s="10" t="s">
        <v>19</v>
      </c>
      <c r="AL163" s="10" t="s">
        <v>49</v>
      </c>
      <c r="AM163" s="78">
        <f>IF(F163&gt;0.79,IF(ROUNDUP(IF(B163="FS",(V163*HRS!$B$9),(V163*HRS!$L$2))*2,-3)&gt;150000,150000,(ROUNDUP(IF(B163="FS",(V163*HRS!$B$9),(V163*HRS!$L$2))*2,-3))),0)</f>
        <v>150000</v>
      </c>
      <c r="AN163" s="188">
        <f t="shared" si="215"/>
        <v>81539</v>
      </c>
      <c r="AO163" s="77">
        <f>IF(L163="N",IF(B163="FS",ROUNDUP($V163*HRS!$B$9*'Position Control'!F163,0),ROUNDUP('Position Control'!$V163*HRS!$L$2*'Position Control'!F163,0)),IF('Position Control'!B163="FS",ROUNDUP(('Position Control'!V163*HRS!$B$9*'Position Control'!W163*'Position Control'!F163)+('Position Control'!X163*HRS!$B$9*'Position Control'!Y163*'Position Control'!F163),0),ROUNDUP(('Position Control'!V163*HRS!$L$2*'Position Control'!W163*'Position Control'!F163)+('Position Control'!X163*HRS!$L$2*'Position Control'!Y163*'Position Control'!F163),0)))*'Position Control'!H163</f>
        <v>77339</v>
      </c>
      <c r="AP163" s="77">
        <f t="shared" si="192"/>
        <v>0</v>
      </c>
      <c r="AQ163" s="77">
        <f t="shared" si="193"/>
        <v>1800</v>
      </c>
      <c r="AR163" s="77">
        <f t="shared" si="194"/>
        <v>1200</v>
      </c>
      <c r="AS163" s="77">
        <v>0</v>
      </c>
      <c r="AT163" s="79">
        <f t="shared" si="195"/>
        <v>0</v>
      </c>
      <c r="AU163" s="77">
        <f t="shared" si="196"/>
        <v>0</v>
      </c>
      <c r="AV163" s="77">
        <v>0</v>
      </c>
      <c r="AW163" s="77">
        <f t="shared" si="197"/>
        <v>1200</v>
      </c>
      <c r="AX163" s="77">
        <f t="shared" si="198"/>
        <v>0</v>
      </c>
      <c r="AY163" s="77">
        <f t="shared" si="199"/>
        <v>0</v>
      </c>
      <c r="AZ163" s="77">
        <f t="shared" si="200"/>
        <v>0</v>
      </c>
      <c r="BA163" s="77">
        <f t="shared" si="201"/>
        <v>0</v>
      </c>
      <c r="BB163" s="77">
        <f t="shared" si="202"/>
        <v>0</v>
      </c>
      <c r="BC163" s="77">
        <f t="shared" si="186"/>
        <v>0</v>
      </c>
      <c r="BD163" s="77">
        <f t="shared" ref="BD163:BD171" si="220">IF($S163&gt;=12,IF(($S163*5)&gt;1200,1200,$S163*5),0)*$H163</f>
        <v>385</v>
      </c>
      <c r="BE163" s="77">
        <f t="shared" si="216"/>
        <v>6380</v>
      </c>
      <c r="BF163" s="77">
        <f t="shared" si="204"/>
        <v>180</v>
      </c>
      <c r="BG163" s="77">
        <f>VLOOKUP($AJ163,BENE!$I$2:$N$9,6,FALSE)*'Position Control'!$H163</f>
        <v>389</v>
      </c>
      <c r="BH163" s="77">
        <f>VLOOKUP($AK163,BENE!$A$2:$F$19,6,FALSE)*'Position Control'!$H163</f>
        <v>20439</v>
      </c>
      <c r="BI163" s="77">
        <f>VLOOKUP($AK163,BENE!$A$2:$G$19,7,FALSE)*'Position Control'!$H163</f>
        <v>0</v>
      </c>
      <c r="BJ163" s="77">
        <f>VLOOKUP($AL163,BENE!$P$2:$S$6,4,FALSE)*'Position Control'!$H163</f>
        <v>0</v>
      </c>
      <c r="BK163" s="77">
        <f>IF($F163&gt;HRS!$H$2,ROUNDUP(((($AN163+$BE163)*$BK$3)/12*9)+(($AN163+$BE163)*HRS!$B$10/12*3),0),0)*$H163</f>
        <v>14824</v>
      </c>
      <c r="BL163" s="80">
        <f t="shared" si="205"/>
        <v>1016</v>
      </c>
      <c r="BM163" s="77">
        <f t="shared" si="206"/>
        <v>144</v>
      </c>
      <c r="BN163" s="77">
        <f t="shared" si="207"/>
        <v>1183</v>
      </c>
      <c r="BO163" s="77">
        <f t="shared" si="208"/>
        <v>147</v>
      </c>
      <c r="BP163" s="77">
        <f t="shared" si="209"/>
        <v>0</v>
      </c>
      <c r="BQ163" s="77">
        <v>0</v>
      </c>
      <c r="BR163" s="80">
        <f t="shared" si="217"/>
        <v>126626</v>
      </c>
    </row>
    <row r="164" spans="1:70" outlineLevel="1" x14ac:dyDescent="0.35">
      <c r="A164" s="1" t="s">
        <v>6</v>
      </c>
      <c r="B164" s="1" t="s">
        <v>156</v>
      </c>
      <c r="C164" s="1" t="s">
        <v>8</v>
      </c>
      <c r="D164" s="1" t="s">
        <v>140</v>
      </c>
      <c r="E164" s="1" t="s">
        <v>89</v>
      </c>
      <c r="F164" s="2">
        <v>1</v>
      </c>
      <c r="G164" s="66">
        <v>1</v>
      </c>
      <c r="H164" s="66">
        <v>1</v>
      </c>
      <c r="I164" s="1" t="s">
        <v>611</v>
      </c>
      <c r="J164" s="1" t="s">
        <v>612</v>
      </c>
      <c r="K164" s="1" t="s">
        <v>197</v>
      </c>
      <c r="L164" s="76" t="str">
        <f>IF(M164="","N",STEP!$J$22)</f>
        <v>Y</v>
      </c>
      <c r="M164" s="1" t="s">
        <v>161</v>
      </c>
      <c r="N164" s="1" t="s">
        <v>162</v>
      </c>
      <c r="O164" s="1">
        <v>7</v>
      </c>
      <c r="P164" s="1">
        <v>7</v>
      </c>
      <c r="Q164" s="185">
        <v>20060706</v>
      </c>
      <c r="R164" s="196">
        <v>38904</v>
      </c>
      <c r="S164" s="197">
        <f t="shared" si="188"/>
        <v>194</v>
      </c>
      <c r="T164" s="66">
        <f t="shared" si="189"/>
        <v>17</v>
      </c>
      <c r="U164" s="65">
        <v>20211007</v>
      </c>
      <c r="V164" s="70">
        <v>28.3292</v>
      </c>
      <c r="W164" s="74">
        <f t="shared" si="219"/>
        <v>6.0000000000004494E-4</v>
      </c>
      <c r="X164" s="70" cm="1">
        <f t="array" ref="X164">IF(U164="","",INDEX(STEP!$C:$C,MATCH('Position Control'!M164&amp;'Position Control'!P164,STEP!$A:$A&amp;STEP!$B:$B,0)))</f>
        <v>28.3292</v>
      </c>
      <c r="Y164" s="74">
        <f t="shared" si="190"/>
        <v>0.99939999999999996</v>
      </c>
      <c r="Z164" s="1">
        <v>7704</v>
      </c>
      <c r="AA164" s="112">
        <f>VLOOKUP(Z164,'WRK COMP'!$A$1:$E$17,5,FALSE)</f>
        <v>1.2449999999999999E-2</v>
      </c>
      <c r="AB164" s="76" t="s">
        <v>13</v>
      </c>
      <c r="AC164" s="68">
        <v>0</v>
      </c>
      <c r="AD164" s="209">
        <v>62.5</v>
      </c>
      <c r="AE164" s="209">
        <v>0</v>
      </c>
      <c r="AF164" s="209">
        <v>0</v>
      </c>
      <c r="AG164" s="209">
        <v>50</v>
      </c>
      <c r="AH164" s="68">
        <v>0</v>
      </c>
      <c r="AI164" s="68">
        <v>0</v>
      </c>
      <c r="AJ164" s="10" t="s">
        <v>18</v>
      </c>
      <c r="AK164" s="10" t="s">
        <v>35</v>
      </c>
      <c r="AL164" s="10" t="s">
        <v>36</v>
      </c>
      <c r="AM164" s="78">
        <f>IF(F164&gt;0.79,IF(ROUNDUP(IF(B164="FS",(V164*HRS!$B$9),(V164*HRS!$L$2))*2,-3)&gt;150000,150000,(ROUNDUP(IF(B164="FS",(V164*HRS!$B$9),(V164*HRS!$L$2))*2,-3))),0)</f>
        <v>150000</v>
      </c>
      <c r="AN164" s="188">
        <f t="shared" si="215"/>
        <v>80039</v>
      </c>
      <c r="AO164" s="77">
        <f>IF(L164="N",IF(B164="FS",ROUNDUP($V164*HRS!$B$9*'Position Control'!F164,0),ROUNDUP('Position Control'!$V164*HRS!$L$2*'Position Control'!F164,0)),IF('Position Control'!B164="FS",ROUNDUP(('Position Control'!V164*HRS!$B$9*'Position Control'!W164*'Position Control'!F164)+('Position Control'!X164*HRS!$B$9*'Position Control'!Y164*'Position Control'!F164),0),ROUNDUP(('Position Control'!V164*HRS!$L$2*'Position Control'!W164*'Position Control'!F164)+('Position Control'!X164*HRS!$L$2*'Position Control'!Y164*'Position Control'!F164),0)))*'Position Control'!H164</f>
        <v>77339</v>
      </c>
      <c r="AP164" s="77">
        <f t="shared" si="192"/>
        <v>0</v>
      </c>
      <c r="AQ164" s="77">
        <f t="shared" si="193"/>
        <v>1500</v>
      </c>
      <c r="AR164" s="77">
        <f t="shared" si="194"/>
        <v>1200</v>
      </c>
      <c r="AS164" s="77">
        <v>0</v>
      </c>
      <c r="AT164" s="79">
        <f t="shared" si="195"/>
        <v>0</v>
      </c>
      <c r="AU164" s="77">
        <f t="shared" si="196"/>
        <v>0</v>
      </c>
      <c r="AV164" s="77">
        <v>0</v>
      </c>
      <c r="AW164" s="77">
        <f t="shared" si="197"/>
        <v>0</v>
      </c>
      <c r="AX164" s="77">
        <f t="shared" si="198"/>
        <v>0</v>
      </c>
      <c r="AY164" s="77">
        <f t="shared" si="199"/>
        <v>0</v>
      </c>
      <c r="AZ164" s="77">
        <f t="shared" si="200"/>
        <v>0</v>
      </c>
      <c r="BA164" s="77">
        <f t="shared" si="201"/>
        <v>0</v>
      </c>
      <c r="BB164" s="77">
        <f t="shared" si="202"/>
        <v>0</v>
      </c>
      <c r="BC164" s="77">
        <f t="shared" si="186"/>
        <v>0</v>
      </c>
      <c r="BD164" s="77">
        <f t="shared" si="220"/>
        <v>970</v>
      </c>
      <c r="BE164" s="77">
        <f t="shared" si="216"/>
        <v>6380</v>
      </c>
      <c r="BF164" s="77">
        <f t="shared" si="204"/>
        <v>180</v>
      </c>
      <c r="BG164" s="77">
        <f>VLOOKUP($AJ164,BENE!$I$2:$N$9,6,FALSE)*'Position Control'!$H164</f>
        <v>760</v>
      </c>
      <c r="BH164" s="77">
        <f>VLOOKUP($AK164,BENE!$A$2:$F$19,6,FALSE)*'Position Control'!$H164</f>
        <v>10067</v>
      </c>
      <c r="BI164" s="77">
        <f>VLOOKUP($AK164,BENE!$A$2:$G$19,7,FALSE)*'Position Control'!$H164</f>
        <v>1500</v>
      </c>
      <c r="BJ164" s="77">
        <f>VLOOKUP($AL164,BENE!$P$2:$S$6,4,FALSE)*'Position Control'!$H164</f>
        <v>312</v>
      </c>
      <c r="BK164" s="77">
        <f>IF($F164&gt;HRS!$H$2,ROUNDUP(((($AN164+$BE164)*$BK$3)/12*9)+(($AN164+$BE164)*HRS!$B$10/12*3),0),0)*$H164</f>
        <v>14571</v>
      </c>
      <c r="BL164" s="80">
        <f t="shared" si="205"/>
        <v>997</v>
      </c>
      <c r="BM164" s="77">
        <f t="shared" si="206"/>
        <v>144</v>
      </c>
      <c r="BN164" s="77">
        <f t="shared" si="207"/>
        <v>1161</v>
      </c>
      <c r="BO164" s="77">
        <f t="shared" si="208"/>
        <v>144</v>
      </c>
      <c r="BP164" s="77">
        <f t="shared" si="209"/>
        <v>1500</v>
      </c>
      <c r="BQ164" s="77">
        <v>0</v>
      </c>
      <c r="BR164" s="80">
        <f t="shared" si="217"/>
        <v>118725</v>
      </c>
    </row>
    <row r="165" spans="1:70" outlineLevel="1" x14ac:dyDescent="0.35">
      <c r="A165" s="1" t="s">
        <v>6</v>
      </c>
      <c r="B165" s="1" t="s">
        <v>156</v>
      </c>
      <c r="C165" s="1" t="s">
        <v>8</v>
      </c>
      <c r="D165" s="1" t="s">
        <v>140</v>
      </c>
      <c r="E165" s="1" t="s">
        <v>89</v>
      </c>
      <c r="F165" s="2">
        <v>1</v>
      </c>
      <c r="G165" s="66">
        <v>1</v>
      </c>
      <c r="H165" s="66">
        <v>1</v>
      </c>
      <c r="I165" s="1" t="s">
        <v>611</v>
      </c>
      <c r="J165" s="1" t="s">
        <v>612</v>
      </c>
      <c r="K165" s="1" t="s">
        <v>197</v>
      </c>
      <c r="L165" s="76" t="str">
        <f>IF(M165="","N",STEP!$J$22)</f>
        <v>Y</v>
      </c>
      <c r="M165" s="10" t="s">
        <v>158</v>
      </c>
      <c r="N165" s="1" t="s">
        <v>162</v>
      </c>
      <c r="O165" s="1">
        <v>1</v>
      </c>
      <c r="P165" s="1">
        <v>1</v>
      </c>
      <c r="Q165" s="185">
        <v>20221002</v>
      </c>
      <c r="R165" s="196">
        <v>44732</v>
      </c>
      <c r="S165" s="197">
        <f t="shared" si="188"/>
        <v>3</v>
      </c>
      <c r="T165" s="66">
        <f t="shared" si="189"/>
        <v>1</v>
      </c>
      <c r="U165" s="65">
        <v>20220620</v>
      </c>
      <c r="V165" s="70">
        <v>22.4011</v>
      </c>
      <c r="W165" s="74">
        <f t="shared" si="219"/>
        <v>0.96189999999999998</v>
      </c>
      <c r="X165" s="70" cm="1">
        <f t="array" ref="X165">IF(U165="","",INDEX(STEP!$C:$C,MATCH('Position Control'!M165&amp;'Position Control'!P165,STEP!$A:$A&amp;STEP!$B:$B,0)))</f>
        <v>22.4011</v>
      </c>
      <c r="Y165" s="74">
        <f t="shared" si="190"/>
        <v>3.8100000000000002E-2</v>
      </c>
      <c r="Z165" s="1">
        <v>7704</v>
      </c>
      <c r="AA165" s="112">
        <f>VLOOKUP(Z165,'WRK COMP'!$A$1:$E$17,5,FALSE)</f>
        <v>1.2449999999999999E-2</v>
      </c>
      <c r="AB165" s="76" t="s">
        <v>13</v>
      </c>
      <c r="AC165" s="68">
        <v>0</v>
      </c>
      <c r="AD165" s="209">
        <v>0</v>
      </c>
      <c r="AE165" s="209">
        <v>0</v>
      </c>
      <c r="AF165" s="209">
        <v>0</v>
      </c>
      <c r="AG165" s="209">
        <v>50</v>
      </c>
      <c r="AH165" s="68">
        <v>0</v>
      </c>
      <c r="AI165" s="68">
        <v>0</v>
      </c>
      <c r="AJ165" s="9" t="s">
        <v>49</v>
      </c>
      <c r="AK165" s="10" t="s">
        <v>35</v>
      </c>
      <c r="AL165" s="10" t="s">
        <v>36</v>
      </c>
      <c r="AM165" s="78">
        <f>IF(F165&gt;0.79,IF(ROUNDUP(IF(B165="FS",(V165*HRS!$B$9),(V165*HRS!$L$2))*2,-3)&gt;150000,150000,(ROUNDUP(IF(B165="FS",(V165*HRS!$B$9),(V165*HRS!$L$2))*2,-3))),0)</f>
        <v>123000</v>
      </c>
      <c r="AN165" s="188">
        <f t="shared" si="215"/>
        <v>62356</v>
      </c>
      <c r="AO165" s="77">
        <f>IF(L165="N",IF(B165="FS",ROUNDUP($V165*HRS!$B$9*'Position Control'!F165,0),ROUNDUP('Position Control'!$V165*HRS!$L$2*'Position Control'!F165,0)),IF('Position Control'!B165="FS",ROUNDUP(('Position Control'!V165*HRS!$B$9*'Position Control'!W165*'Position Control'!F165)+('Position Control'!X165*HRS!$B$9*'Position Control'!Y165*'Position Control'!F165),0),ROUNDUP(('Position Control'!V165*HRS!$L$2*'Position Control'!W165*'Position Control'!F165)+('Position Control'!X165*HRS!$L$2*'Position Control'!Y165*'Position Control'!F165),0)))*'Position Control'!H165</f>
        <v>61156</v>
      </c>
      <c r="AP165" s="77">
        <f t="shared" si="192"/>
        <v>0</v>
      </c>
      <c r="AQ165" s="77">
        <f t="shared" si="193"/>
        <v>0</v>
      </c>
      <c r="AR165" s="77">
        <f t="shared" si="194"/>
        <v>1200</v>
      </c>
      <c r="AS165" s="77">
        <v>0</v>
      </c>
      <c r="AT165" s="79">
        <f t="shared" si="195"/>
        <v>0</v>
      </c>
      <c r="AU165" s="77">
        <f t="shared" si="196"/>
        <v>0</v>
      </c>
      <c r="AV165" s="77">
        <v>0</v>
      </c>
      <c r="AW165" s="77">
        <f t="shared" si="197"/>
        <v>0</v>
      </c>
      <c r="AX165" s="77">
        <f t="shared" si="198"/>
        <v>0</v>
      </c>
      <c r="AY165" s="77">
        <f t="shared" si="199"/>
        <v>0</v>
      </c>
      <c r="AZ165" s="77">
        <f t="shared" si="200"/>
        <v>0</v>
      </c>
      <c r="BA165" s="77">
        <f t="shared" si="201"/>
        <v>0</v>
      </c>
      <c r="BB165" s="77">
        <f t="shared" si="202"/>
        <v>0</v>
      </c>
      <c r="BC165" s="77">
        <f t="shared" ref="BC165:BC194" si="221">SUM(AX165:BB165)</f>
        <v>0</v>
      </c>
      <c r="BD165" s="77">
        <f t="shared" si="220"/>
        <v>0</v>
      </c>
      <c r="BE165" s="77">
        <f t="shared" si="216"/>
        <v>5050</v>
      </c>
      <c r="BF165" s="77">
        <f t="shared" si="204"/>
        <v>147.60000000000002</v>
      </c>
      <c r="BG165" s="77">
        <f>VLOOKUP($AJ165,BENE!$I$2:$N$9,6,FALSE)*'Position Control'!$H165</f>
        <v>0</v>
      </c>
      <c r="BH165" s="77">
        <f>VLOOKUP($AK165,BENE!$A$2:$F$19,6,FALSE)*'Position Control'!$H165</f>
        <v>10067</v>
      </c>
      <c r="BI165" s="77">
        <f>VLOOKUP($AK165,BENE!$A$2:$G$19,7,FALSE)*'Position Control'!$H165</f>
        <v>1500</v>
      </c>
      <c r="BJ165" s="77">
        <f>VLOOKUP($AL165,BENE!$P$2:$S$6,4,FALSE)*'Position Control'!$H165</f>
        <v>312</v>
      </c>
      <c r="BK165" s="77">
        <f>IF($F165&gt;HRS!$H$2,ROUNDUP(((($AN165+$BE165)*$BK$3)/12*9)+(($AN165+$BE165)*HRS!$B$10/12*3),0),0)*$H165</f>
        <v>11365</v>
      </c>
      <c r="BL165" s="80">
        <f t="shared" si="205"/>
        <v>777</v>
      </c>
      <c r="BM165" s="77">
        <f t="shared" si="206"/>
        <v>144</v>
      </c>
      <c r="BN165" s="77">
        <f t="shared" si="207"/>
        <v>905</v>
      </c>
      <c r="BO165" s="77">
        <f t="shared" si="208"/>
        <v>112</v>
      </c>
      <c r="BP165" s="77">
        <f t="shared" si="209"/>
        <v>0</v>
      </c>
      <c r="BQ165" s="77">
        <v>0</v>
      </c>
      <c r="BR165" s="80">
        <f t="shared" si="217"/>
        <v>92735.6</v>
      </c>
    </row>
    <row r="166" spans="1:70" outlineLevel="1" x14ac:dyDescent="0.35">
      <c r="A166" s="1" t="s">
        <v>6</v>
      </c>
      <c r="B166" s="1" t="s">
        <v>156</v>
      </c>
      <c r="C166" s="1" t="s">
        <v>8</v>
      </c>
      <c r="D166" s="1" t="s">
        <v>140</v>
      </c>
      <c r="E166" s="1" t="s">
        <v>89</v>
      </c>
      <c r="F166" s="2">
        <v>1</v>
      </c>
      <c r="G166" s="66">
        <v>1</v>
      </c>
      <c r="H166" s="66">
        <v>1</v>
      </c>
      <c r="I166" s="1" t="s">
        <v>611</v>
      </c>
      <c r="J166" s="1" t="s">
        <v>612</v>
      </c>
      <c r="K166" s="10" t="s">
        <v>604</v>
      </c>
      <c r="L166" s="76" t="str">
        <f>IF(M166="","N",STEP!$J$22)</f>
        <v>Y</v>
      </c>
      <c r="M166" s="10" t="s">
        <v>161</v>
      </c>
      <c r="N166" s="10" t="s">
        <v>162</v>
      </c>
      <c r="O166" s="1">
        <v>2</v>
      </c>
      <c r="P166" s="1">
        <v>3</v>
      </c>
      <c r="Q166" s="185">
        <v>20200406</v>
      </c>
      <c r="R166" s="196">
        <v>43927</v>
      </c>
      <c r="S166" s="197">
        <f t="shared" si="188"/>
        <v>29</v>
      </c>
      <c r="T166" s="66">
        <f t="shared" si="189"/>
        <v>3</v>
      </c>
      <c r="U166" s="65">
        <v>20211005</v>
      </c>
      <c r="V166" s="70">
        <v>23.241099999999999</v>
      </c>
      <c r="W166" s="74">
        <f>IF(U166="","",(1-Y166))</f>
        <v>3.9999999999995595E-4</v>
      </c>
      <c r="X166" s="70" cm="1">
        <f t="array" ref="X166">IF(U166="","",INDEX(STEP!$C:$C,MATCH('Position Control'!M166&amp;'Position Control'!P166,STEP!$A:$A&amp;STEP!$B:$B,0)))</f>
        <v>24.450199999999999</v>
      </c>
      <c r="Y166" s="74">
        <f t="shared" si="190"/>
        <v>0.99960000000000004</v>
      </c>
      <c r="Z166" s="1">
        <v>7704</v>
      </c>
      <c r="AA166" s="112">
        <f>VLOOKUP(Z166,'WRK COMP'!$A$1:$E$17,5,FALSE)</f>
        <v>1.2449999999999999E-2</v>
      </c>
      <c r="AB166" s="76" t="s">
        <v>13</v>
      </c>
      <c r="AC166" s="68">
        <v>0</v>
      </c>
      <c r="AD166" s="209">
        <v>12.5</v>
      </c>
      <c r="AE166" s="209">
        <v>0</v>
      </c>
      <c r="AF166" s="209">
        <v>0</v>
      </c>
      <c r="AG166" s="209">
        <v>50</v>
      </c>
      <c r="AH166" s="68">
        <v>0</v>
      </c>
      <c r="AI166" s="68">
        <v>0</v>
      </c>
      <c r="AJ166" s="10" t="s">
        <v>25</v>
      </c>
      <c r="AK166" s="10" t="s">
        <v>115</v>
      </c>
      <c r="AL166" s="10" t="s">
        <v>49</v>
      </c>
      <c r="AM166" s="78">
        <f>IF(F166&gt;0.79,IF(ROUNDUP(IF(B166="FS",(V166*HRS!$B$9),(V166*HRS!$L$2))*2,-3)&gt;150000,150000,(ROUNDUP(IF(B166="FS",(V166*HRS!$B$9),(V166*HRS!$L$2))*2,-3))),0)</f>
        <v>127000</v>
      </c>
      <c r="AN166" s="188">
        <f t="shared" si="215"/>
        <v>68248</v>
      </c>
      <c r="AO166" s="77">
        <f>IF(L166="N",IF(B166="FS",ROUNDUP($V166*HRS!$B$9*'Position Control'!F166,0),ROUNDUP('Position Control'!$V166*HRS!$L$2*'Position Control'!F166,0)),IF('Position Control'!B166="FS",ROUNDUP(('Position Control'!V166*HRS!$B$9*'Position Control'!W166*'Position Control'!F166)+('Position Control'!X166*HRS!$B$9*'Position Control'!Y166*'Position Control'!F166),0),ROUNDUP(('Position Control'!V166*HRS!$L$2*'Position Control'!W166*'Position Control'!F166)+('Position Control'!X166*HRS!$L$2*'Position Control'!Y166*'Position Control'!F166),0)))*'Position Control'!H166</f>
        <v>66748</v>
      </c>
      <c r="AP166" s="77">
        <f t="shared" si="192"/>
        <v>0</v>
      </c>
      <c r="AQ166" s="77">
        <f t="shared" si="193"/>
        <v>300</v>
      </c>
      <c r="AR166" s="77">
        <f t="shared" si="194"/>
        <v>1200</v>
      </c>
      <c r="AS166" s="77">
        <v>0</v>
      </c>
      <c r="AT166" s="79">
        <f t="shared" si="195"/>
        <v>0</v>
      </c>
      <c r="AU166" s="77">
        <f t="shared" si="196"/>
        <v>0</v>
      </c>
      <c r="AV166" s="77">
        <v>0</v>
      </c>
      <c r="AW166" s="77">
        <f t="shared" si="197"/>
        <v>0</v>
      </c>
      <c r="AX166" s="77">
        <f t="shared" si="198"/>
        <v>0</v>
      </c>
      <c r="AY166" s="77">
        <f t="shared" si="199"/>
        <v>0</v>
      </c>
      <c r="AZ166" s="77">
        <f t="shared" si="200"/>
        <v>0</v>
      </c>
      <c r="BA166" s="77">
        <f t="shared" si="201"/>
        <v>0</v>
      </c>
      <c r="BB166" s="77">
        <f t="shared" si="202"/>
        <v>0</v>
      </c>
      <c r="BC166" s="77">
        <f>SUM(AX166:BB166)</f>
        <v>0</v>
      </c>
      <c r="BD166" s="77">
        <f t="shared" si="220"/>
        <v>145</v>
      </c>
      <c r="BE166" s="77">
        <f t="shared" si="216"/>
        <v>5510</v>
      </c>
      <c r="BF166" s="77">
        <f t="shared" si="204"/>
        <v>152.4</v>
      </c>
      <c r="BG166" s="77">
        <f>VLOOKUP($AJ166,BENE!$I$2:$N$9,6,FALSE)*'Position Control'!$H166</f>
        <v>414</v>
      </c>
      <c r="BH166" s="77">
        <f>VLOOKUP($AK166,BENE!$A$2:$F$19,6,FALSE)*'Position Control'!$H166</f>
        <v>10717</v>
      </c>
      <c r="BI166" s="77">
        <f>VLOOKUP($AK166,BENE!$A$2:$G$19,7,FALSE)*'Position Control'!$H166</f>
        <v>0</v>
      </c>
      <c r="BJ166" s="77">
        <f>VLOOKUP($AL166,BENE!$P$2:$S$6,4,FALSE)*'Position Control'!$H166</f>
        <v>0</v>
      </c>
      <c r="BK166" s="77">
        <f>IF($F166&gt;HRS!$H$2,ROUNDUP(((($AN166+$BE166)*$BK$3)/12*9)+(($AN166+$BE166)*HRS!$B$10/12*3),0),0)*$H166</f>
        <v>12436</v>
      </c>
      <c r="BL166" s="80">
        <f t="shared" si="205"/>
        <v>850</v>
      </c>
      <c r="BM166" s="77">
        <f t="shared" si="206"/>
        <v>144</v>
      </c>
      <c r="BN166" s="77">
        <f t="shared" si="207"/>
        <v>990</v>
      </c>
      <c r="BO166" s="77">
        <f t="shared" si="208"/>
        <v>123</v>
      </c>
      <c r="BP166" s="77">
        <f t="shared" si="209"/>
        <v>0</v>
      </c>
      <c r="BQ166" s="77">
        <v>0</v>
      </c>
      <c r="BR166" s="80">
        <f t="shared" si="217"/>
        <v>99729.4</v>
      </c>
    </row>
    <row r="167" spans="1:70" outlineLevel="1" x14ac:dyDescent="0.35">
      <c r="A167" s="1" t="s">
        <v>6</v>
      </c>
      <c r="B167" s="1" t="s">
        <v>156</v>
      </c>
      <c r="C167" s="1" t="s">
        <v>8</v>
      </c>
      <c r="D167" s="1" t="s">
        <v>140</v>
      </c>
      <c r="E167" s="1" t="s">
        <v>89</v>
      </c>
      <c r="F167" s="2">
        <v>1</v>
      </c>
      <c r="G167" s="66">
        <v>1</v>
      </c>
      <c r="H167" s="66">
        <v>1</v>
      </c>
      <c r="I167" s="1" t="s">
        <v>611</v>
      </c>
      <c r="J167" s="1" t="s">
        <v>612</v>
      </c>
      <c r="K167" s="10" t="s">
        <v>605</v>
      </c>
      <c r="L167" s="76" t="str">
        <f>IF(M167="","N",STEP!$J$22)</f>
        <v>Y</v>
      </c>
      <c r="M167" s="10" t="s">
        <v>161</v>
      </c>
      <c r="N167" s="10" t="s">
        <v>162</v>
      </c>
      <c r="O167" s="1">
        <v>2</v>
      </c>
      <c r="P167" s="1">
        <v>3</v>
      </c>
      <c r="Q167" s="185">
        <v>20210104</v>
      </c>
      <c r="R167" s="196">
        <v>44200</v>
      </c>
      <c r="S167" s="197">
        <f t="shared" si="188"/>
        <v>20</v>
      </c>
      <c r="T167" s="66">
        <f t="shared" si="189"/>
        <v>2</v>
      </c>
      <c r="U167" s="65">
        <v>20220104</v>
      </c>
      <c r="V167" s="70">
        <v>23.241099999999999</v>
      </c>
      <c r="W167" s="74">
        <f>IF(U167="","",(1-Y167))</f>
        <v>0.9103</v>
      </c>
      <c r="X167" s="70" cm="1">
        <f t="array" ref="X167">IF(U167="","",INDEX(STEP!$C:$C,MATCH('Position Control'!M167&amp;'Position Control'!P167,STEP!$A:$A&amp;STEP!$B:$B,0)))</f>
        <v>24.450199999999999</v>
      </c>
      <c r="Y167" s="74">
        <f t="shared" si="190"/>
        <v>8.9700000000000002E-2</v>
      </c>
      <c r="Z167" s="1">
        <v>7704</v>
      </c>
      <c r="AA167" s="112">
        <f>VLOOKUP(Z167,'WRK COMP'!$A$1:$E$17,5,FALSE)</f>
        <v>1.2449999999999999E-2</v>
      </c>
      <c r="AB167" s="76" t="s">
        <v>13</v>
      </c>
      <c r="AC167" s="68">
        <v>0</v>
      </c>
      <c r="AD167" s="209">
        <v>0</v>
      </c>
      <c r="AE167" s="209">
        <v>0</v>
      </c>
      <c r="AF167" s="209">
        <v>0</v>
      </c>
      <c r="AG167" s="209">
        <v>0</v>
      </c>
      <c r="AH167" s="68">
        <v>0</v>
      </c>
      <c r="AI167" s="68">
        <v>0</v>
      </c>
      <c r="AJ167" s="10" t="s">
        <v>41</v>
      </c>
      <c r="AK167" s="10" t="s">
        <v>115</v>
      </c>
      <c r="AL167" s="10" t="s">
        <v>49</v>
      </c>
      <c r="AM167" s="78">
        <f>IF(F167&gt;0.79,IF(ROUNDUP(IF(B167="FS",(V167*HRS!$B$9),(V167*HRS!$L$2))*2,-3)&gt;150000,150000,(ROUNDUP(IF(B167="FS",(V167*HRS!$B$9),(V167*HRS!$L$2))*2,-3))),0)</f>
        <v>127000</v>
      </c>
      <c r="AN167" s="188">
        <f t="shared" si="215"/>
        <v>63745</v>
      </c>
      <c r="AO167" s="77">
        <f>IF(L167="N",IF(B167="FS",ROUNDUP($V167*HRS!$B$9*'Position Control'!F167,0),ROUNDUP('Position Control'!$V167*HRS!$L$2*'Position Control'!F167,0)),IF('Position Control'!B167="FS",ROUNDUP(('Position Control'!V167*HRS!$B$9*'Position Control'!W167*'Position Control'!F167)+('Position Control'!X167*HRS!$B$9*'Position Control'!Y167*'Position Control'!F167),0),ROUNDUP(('Position Control'!V167*HRS!$L$2*'Position Control'!W167*'Position Control'!F167)+('Position Control'!X167*HRS!$L$2*'Position Control'!Y167*'Position Control'!F167),0)))*'Position Control'!H167</f>
        <v>63745</v>
      </c>
      <c r="AP167" s="77">
        <f t="shared" si="192"/>
        <v>0</v>
      </c>
      <c r="AQ167" s="77">
        <f t="shared" si="193"/>
        <v>0</v>
      </c>
      <c r="AR167" s="77">
        <f t="shared" si="194"/>
        <v>0</v>
      </c>
      <c r="AS167" s="77">
        <v>0</v>
      </c>
      <c r="AT167" s="79">
        <f t="shared" si="195"/>
        <v>0</v>
      </c>
      <c r="AU167" s="77">
        <f t="shared" si="196"/>
        <v>0</v>
      </c>
      <c r="AV167" s="77">
        <v>0</v>
      </c>
      <c r="AW167" s="77">
        <f t="shared" si="197"/>
        <v>0</v>
      </c>
      <c r="AX167" s="77">
        <f t="shared" si="198"/>
        <v>0</v>
      </c>
      <c r="AY167" s="77">
        <f t="shared" si="199"/>
        <v>0</v>
      </c>
      <c r="AZ167" s="77">
        <f t="shared" si="200"/>
        <v>0</v>
      </c>
      <c r="BA167" s="77">
        <f t="shared" si="201"/>
        <v>0</v>
      </c>
      <c r="BB167" s="77">
        <f t="shared" si="202"/>
        <v>0</v>
      </c>
      <c r="BC167" s="77">
        <f>SUM(AX167:BB167)</f>
        <v>0</v>
      </c>
      <c r="BD167" s="77">
        <f t="shared" si="220"/>
        <v>100</v>
      </c>
      <c r="BE167" s="77">
        <f t="shared" si="216"/>
        <v>5260</v>
      </c>
      <c r="BF167" s="77">
        <f t="shared" si="204"/>
        <v>152.4</v>
      </c>
      <c r="BG167" s="77">
        <f>VLOOKUP($AJ167,BENE!$I$2:$N$9,6,FALSE)*'Position Control'!$H167</f>
        <v>214</v>
      </c>
      <c r="BH167" s="77">
        <f>VLOOKUP($AK167,BENE!$A$2:$F$19,6,FALSE)*'Position Control'!$H167</f>
        <v>10717</v>
      </c>
      <c r="BI167" s="77">
        <f>VLOOKUP($AK167,BENE!$A$2:$G$19,7,FALSE)*'Position Control'!$H167</f>
        <v>0</v>
      </c>
      <c r="BJ167" s="77">
        <f>VLOOKUP($AL167,BENE!$P$2:$S$6,4,FALSE)*'Position Control'!$H167</f>
        <v>0</v>
      </c>
      <c r="BK167" s="77">
        <f>IF($F167&gt;HRS!$H$2,ROUNDUP(((($AN167+$BE167)*$BK$3)/12*9)+(($AN167+$BE167)*HRS!$B$10/12*3),0),0)*$H167</f>
        <v>11635</v>
      </c>
      <c r="BL167" s="80">
        <f t="shared" si="205"/>
        <v>794</v>
      </c>
      <c r="BM167" s="77">
        <f t="shared" si="206"/>
        <v>144</v>
      </c>
      <c r="BN167" s="77">
        <f t="shared" si="207"/>
        <v>925</v>
      </c>
      <c r="BO167" s="77">
        <f t="shared" si="208"/>
        <v>115</v>
      </c>
      <c r="BP167" s="77">
        <f t="shared" si="209"/>
        <v>0</v>
      </c>
      <c r="BQ167" s="77">
        <v>0</v>
      </c>
      <c r="BR167" s="80">
        <f t="shared" si="217"/>
        <v>93801.4</v>
      </c>
    </row>
    <row r="168" spans="1:70" outlineLevel="1" x14ac:dyDescent="0.35">
      <c r="A168" s="1" t="s">
        <v>6</v>
      </c>
      <c r="B168" s="1" t="s">
        <v>156</v>
      </c>
      <c r="C168" s="1" t="s">
        <v>8</v>
      </c>
      <c r="D168" s="1" t="s">
        <v>140</v>
      </c>
      <c r="E168" s="1" t="s">
        <v>89</v>
      </c>
      <c r="F168" s="2">
        <v>1</v>
      </c>
      <c r="G168" s="66">
        <v>1</v>
      </c>
      <c r="H168" s="66">
        <v>1</v>
      </c>
      <c r="I168" s="1" t="s">
        <v>611</v>
      </c>
      <c r="J168" s="1" t="s">
        <v>612</v>
      </c>
      <c r="K168" s="1" t="s">
        <v>175</v>
      </c>
      <c r="L168" s="76" t="str">
        <f>IF(M168="","N",STEP!$J$22)</f>
        <v>Y</v>
      </c>
      <c r="M168" s="1" t="s">
        <v>158</v>
      </c>
      <c r="N168" s="1" t="s">
        <v>159</v>
      </c>
      <c r="O168" s="1">
        <v>1</v>
      </c>
      <c r="P168" s="1">
        <v>2</v>
      </c>
      <c r="Q168" s="185">
        <v>20220117</v>
      </c>
      <c r="R168" s="196">
        <v>44578</v>
      </c>
      <c r="S168" s="197">
        <f t="shared" si="188"/>
        <v>8</v>
      </c>
      <c r="T168" s="66">
        <f t="shared" si="189"/>
        <v>1</v>
      </c>
      <c r="U168" s="65">
        <v>20220117</v>
      </c>
      <c r="V168" s="70">
        <v>22.4011</v>
      </c>
      <c r="W168" s="74">
        <f t="shared" si="219"/>
        <v>0.91159999999999997</v>
      </c>
      <c r="X168" s="70" cm="1">
        <f t="array" ref="X168">IF(U168="","",INDEX(STEP!$C:$C,MATCH('Position Control'!M168&amp;'Position Control'!P168,STEP!$A:$A&amp;STEP!$B:$B,0)))</f>
        <v>23.241099999999999</v>
      </c>
      <c r="Y168" s="74">
        <f t="shared" si="190"/>
        <v>8.8400000000000006E-2</v>
      </c>
      <c r="Z168" s="1">
        <v>7704</v>
      </c>
      <c r="AA168" s="112">
        <f>VLOOKUP(Z168,'WRK COMP'!$A$1:$E$17,5,FALSE)</f>
        <v>1.2449999999999999E-2</v>
      </c>
      <c r="AB168" s="76" t="s">
        <v>13</v>
      </c>
      <c r="AC168" s="68">
        <v>0</v>
      </c>
      <c r="AD168" s="209">
        <v>37.5</v>
      </c>
      <c r="AE168" s="209">
        <v>0</v>
      </c>
      <c r="AF168" s="209">
        <v>0</v>
      </c>
      <c r="AG168" s="209">
        <v>0</v>
      </c>
      <c r="AH168" s="68">
        <v>0</v>
      </c>
      <c r="AI168" s="68">
        <v>0</v>
      </c>
      <c r="AJ168" s="10" t="s">
        <v>14</v>
      </c>
      <c r="AK168" s="10" t="s">
        <v>15</v>
      </c>
      <c r="AL168" s="10" t="s">
        <v>16</v>
      </c>
      <c r="AM168" s="78">
        <f>IF(F168&gt;0.79,IF(ROUNDUP(IF(B168="FS",(V168*HRS!$B$9),(V168*HRS!$L$2))*2,-3)&gt;150000,150000,(ROUNDUP(IF(B168="FS",(V168*HRS!$B$9),(V168*HRS!$L$2))*2,-3))),0)</f>
        <v>123000</v>
      </c>
      <c r="AN168" s="188">
        <f t="shared" si="215"/>
        <v>62258</v>
      </c>
      <c r="AO168" s="77">
        <f>IF(L168="N",IF(B168="FS",ROUNDUP($V168*HRS!$B$9*'Position Control'!F168,0),ROUNDUP('Position Control'!$V168*HRS!$L$2*'Position Control'!F168,0)),IF('Position Control'!B168="FS",ROUNDUP(('Position Control'!V168*HRS!$B$9*'Position Control'!W168*'Position Control'!F168)+('Position Control'!X168*HRS!$B$9*'Position Control'!Y168*'Position Control'!F168),0),ROUNDUP(('Position Control'!V168*HRS!$L$2*'Position Control'!W168*'Position Control'!F168)+('Position Control'!X168*HRS!$L$2*'Position Control'!Y168*'Position Control'!F168),0)))*'Position Control'!H168</f>
        <v>61358</v>
      </c>
      <c r="AP168" s="77">
        <f t="shared" si="192"/>
        <v>0</v>
      </c>
      <c r="AQ168" s="77">
        <f t="shared" si="193"/>
        <v>900</v>
      </c>
      <c r="AR168" s="77">
        <f t="shared" si="194"/>
        <v>0</v>
      </c>
      <c r="AS168" s="77">
        <v>0</v>
      </c>
      <c r="AT168" s="79">
        <f t="shared" si="195"/>
        <v>0</v>
      </c>
      <c r="AU168" s="77">
        <f t="shared" si="196"/>
        <v>0</v>
      </c>
      <c r="AV168" s="77">
        <v>0</v>
      </c>
      <c r="AW168" s="77">
        <f t="shared" si="197"/>
        <v>0</v>
      </c>
      <c r="AX168" s="77">
        <f t="shared" si="198"/>
        <v>0</v>
      </c>
      <c r="AY168" s="77">
        <f t="shared" si="199"/>
        <v>0</v>
      </c>
      <c r="AZ168" s="77">
        <f t="shared" si="200"/>
        <v>0</v>
      </c>
      <c r="BA168" s="77">
        <f t="shared" si="201"/>
        <v>0</v>
      </c>
      <c r="BB168" s="77">
        <f t="shared" si="202"/>
        <v>0</v>
      </c>
      <c r="BC168" s="77">
        <f t="shared" si="221"/>
        <v>0</v>
      </c>
      <c r="BD168" s="77">
        <f t="shared" si="220"/>
        <v>0</v>
      </c>
      <c r="BE168" s="77">
        <f t="shared" si="216"/>
        <v>5060</v>
      </c>
      <c r="BF168" s="77">
        <f t="shared" si="204"/>
        <v>147.60000000000002</v>
      </c>
      <c r="BG168" s="77">
        <f>VLOOKUP($AJ168,BENE!$I$2:$N$9,6,FALSE)*'Position Control'!$H168</f>
        <v>389</v>
      </c>
      <c r="BH168" s="77">
        <f>VLOOKUP($AK168,BENE!$A$2:$F$19,6,FALSE)*'Position Control'!$H168</f>
        <v>6142</v>
      </c>
      <c r="BI168" s="77">
        <f>VLOOKUP($AK168,BENE!$A$2:$G$19,7,FALSE)*'Position Control'!$H168</f>
        <v>1000</v>
      </c>
      <c r="BJ168" s="77">
        <f>VLOOKUP($AL168,BENE!$P$2:$S$6,4,FALSE)*'Position Control'!$H168</f>
        <v>240</v>
      </c>
      <c r="BK168" s="77">
        <f>IF($F168&gt;HRS!$H$2,ROUNDUP(((($AN168+$BE168)*$BK$3)/12*9)+(($AN168+$BE168)*HRS!$B$10/12*3),0),0)*$H168</f>
        <v>11350</v>
      </c>
      <c r="BL168" s="80">
        <f t="shared" si="205"/>
        <v>776</v>
      </c>
      <c r="BM168" s="77">
        <f t="shared" si="206"/>
        <v>144</v>
      </c>
      <c r="BN168" s="77">
        <f t="shared" si="207"/>
        <v>903</v>
      </c>
      <c r="BO168" s="77">
        <f t="shared" si="208"/>
        <v>112</v>
      </c>
      <c r="BP168" s="77">
        <f t="shared" si="209"/>
        <v>0</v>
      </c>
      <c r="BQ168" s="77">
        <v>0</v>
      </c>
      <c r="BR168" s="80">
        <f t="shared" si="217"/>
        <v>88521.600000000006</v>
      </c>
    </row>
    <row r="169" spans="1:70" outlineLevel="1" x14ac:dyDescent="0.35">
      <c r="A169" s="1" t="s">
        <v>6</v>
      </c>
      <c r="B169" s="1" t="s">
        <v>156</v>
      </c>
      <c r="C169" s="1" t="s">
        <v>8</v>
      </c>
      <c r="D169" s="1" t="s">
        <v>140</v>
      </c>
      <c r="E169" s="1" t="s">
        <v>89</v>
      </c>
      <c r="F169" s="2">
        <v>1</v>
      </c>
      <c r="G169" s="66">
        <v>1</v>
      </c>
      <c r="H169" s="66">
        <v>1</v>
      </c>
      <c r="I169" s="1" t="s">
        <v>611</v>
      </c>
      <c r="J169" s="1" t="s">
        <v>612</v>
      </c>
      <c r="K169" s="1" t="s">
        <v>157</v>
      </c>
      <c r="L169" s="76" t="str">
        <f>IF(M169="","N",STEP!$J$22)</f>
        <v>Y</v>
      </c>
      <c r="M169" s="1" t="s">
        <v>158</v>
      </c>
      <c r="N169" s="1" t="s">
        <v>159</v>
      </c>
      <c r="O169" s="1">
        <v>2</v>
      </c>
      <c r="P169" s="1">
        <v>3</v>
      </c>
      <c r="Q169" s="185">
        <v>20210104</v>
      </c>
      <c r="R169" s="196">
        <v>44200</v>
      </c>
      <c r="S169" s="197">
        <f t="shared" si="188"/>
        <v>20</v>
      </c>
      <c r="T169" s="66">
        <f t="shared" si="189"/>
        <v>2</v>
      </c>
      <c r="U169" s="65">
        <v>20220104</v>
      </c>
      <c r="V169" s="70">
        <v>23.241099999999999</v>
      </c>
      <c r="W169" s="74">
        <f t="shared" si="219"/>
        <v>0.9103</v>
      </c>
      <c r="X169" s="70" cm="1">
        <f t="array" ref="X169">IF(U169="","",INDEX(STEP!$C:$C,MATCH('Position Control'!M169&amp;'Position Control'!P169,STEP!$A:$A&amp;STEP!$B:$B,0)))</f>
        <v>24.1127</v>
      </c>
      <c r="Y169" s="74">
        <f t="shared" si="190"/>
        <v>8.9700000000000002E-2</v>
      </c>
      <c r="Z169" s="1">
        <v>7704</v>
      </c>
      <c r="AA169" s="112">
        <f>VLOOKUP(Z169,'WRK COMP'!$A$1:$E$17,5,FALSE)</f>
        <v>1.2449999999999999E-2</v>
      </c>
      <c r="AB169" s="76" t="s">
        <v>13</v>
      </c>
      <c r="AC169" s="68">
        <v>0</v>
      </c>
      <c r="AD169" s="209">
        <v>62.5</v>
      </c>
      <c r="AE169" s="209">
        <v>0</v>
      </c>
      <c r="AF169" s="209">
        <v>0</v>
      </c>
      <c r="AG169" s="209">
        <v>0</v>
      </c>
      <c r="AH169" s="68">
        <v>0</v>
      </c>
      <c r="AI169" s="68">
        <v>0</v>
      </c>
      <c r="AJ169" s="10" t="s">
        <v>14</v>
      </c>
      <c r="AK169" s="10" t="s">
        <v>15</v>
      </c>
      <c r="AL169" s="10" t="s">
        <v>16</v>
      </c>
      <c r="AM169" s="78">
        <f>IF(F169&gt;0.79,IF(ROUNDUP(IF(B169="FS",(V169*HRS!$B$9),(V169*HRS!$L$2))*2,-3)&gt;150000,150000,(ROUNDUP(IF(B169="FS",(V169*HRS!$B$9),(V169*HRS!$L$2))*2,-3))),0)</f>
        <v>127000</v>
      </c>
      <c r="AN169" s="188">
        <f t="shared" si="215"/>
        <v>65162</v>
      </c>
      <c r="AO169" s="77">
        <f>IF(L169="N",IF(B169="FS",ROUNDUP($V169*HRS!$B$9*'Position Control'!F169,0),ROUNDUP('Position Control'!$V169*HRS!$L$2*'Position Control'!F169,0)),IF('Position Control'!B169="FS",ROUNDUP(('Position Control'!V169*HRS!$B$9*'Position Control'!W169*'Position Control'!F169)+('Position Control'!X169*HRS!$B$9*'Position Control'!Y169*'Position Control'!F169),0),ROUNDUP(('Position Control'!V169*HRS!$L$2*'Position Control'!W169*'Position Control'!F169)+('Position Control'!X169*HRS!$L$2*'Position Control'!Y169*'Position Control'!F169),0)))*'Position Control'!H169</f>
        <v>63662</v>
      </c>
      <c r="AP169" s="77">
        <f t="shared" si="192"/>
        <v>0</v>
      </c>
      <c r="AQ169" s="77">
        <f t="shared" si="193"/>
        <v>1500</v>
      </c>
      <c r="AR169" s="77">
        <f t="shared" si="194"/>
        <v>0</v>
      </c>
      <c r="AS169" s="77">
        <v>0</v>
      </c>
      <c r="AT169" s="79">
        <f t="shared" si="195"/>
        <v>0</v>
      </c>
      <c r="AU169" s="77">
        <f t="shared" si="196"/>
        <v>0</v>
      </c>
      <c r="AV169" s="77">
        <v>0</v>
      </c>
      <c r="AW169" s="77">
        <f t="shared" si="197"/>
        <v>0</v>
      </c>
      <c r="AX169" s="77">
        <f t="shared" si="198"/>
        <v>0</v>
      </c>
      <c r="AY169" s="77">
        <f t="shared" si="199"/>
        <v>0</v>
      </c>
      <c r="AZ169" s="77">
        <f t="shared" si="200"/>
        <v>0</v>
      </c>
      <c r="BA169" s="77">
        <f t="shared" si="201"/>
        <v>0</v>
      </c>
      <c r="BB169" s="77">
        <f t="shared" si="202"/>
        <v>0</v>
      </c>
      <c r="BC169" s="77">
        <f t="shared" si="221"/>
        <v>0</v>
      </c>
      <c r="BD169" s="77">
        <f t="shared" si="220"/>
        <v>100</v>
      </c>
      <c r="BE169" s="77">
        <f t="shared" si="216"/>
        <v>5250</v>
      </c>
      <c r="BF169" s="77">
        <f t="shared" si="204"/>
        <v>152.4</v>
      </c>
      <c r="BG169" s="77">
        <f>VLOOKUP($AJ169,BENE!$I$2:$N$9,6,FALSE)*'Position Control'!$H169</f>
        <v>389</v>
      </c>
      <c r="BH169" s="77">
        <f>VLOOKUP($AK169,BENE!$A$2:$F$19,6,FALSE)*'Position Control'!$H169</f>
        <v>6142</v>
      </c>
      <c r="BI169" s="77">
        <f>VLOOKUP($AK169,BENE!$A$2:$G$19,7,FALSE)*'Position Control'!$H169</f>
        <v>1000</v>
      </c>
      <c r="BJ169" s="77">
        <f>VLOOKUP($AL169,BENE!$P$2:$S$6,4,FALSE)*'Position Control'!$H169</f>
        <v>240</v>
      </c>
      <c r="BK169" s="77">
        <f>IF($F169&gt;HRS!$H$2,ROUNDUP(((($AN169+$BE169)*$BK$3)/12*9)+(($AN169+$BE169)*HRS!$B$10/12*3),0),0)*$H169</f>
        <v>11872</v>
      </c>
      <c r="BL169" s="80">
        <f t="shared" si="205"/>
        <v>812</v>
      </c>
      <c r="BM169" s="77">
        <f t="shared" si="206"/>
        <v>144</v>
      </c>
      <c r="BN169" s="77">
        <f t="shared" si="207"/>
        <v>945</v>
      </c>
      <c r="BO169" s="77">
        <f t="shared" si="208"/>
        <v>117</v>
      </c>
      <c r="BP169" s="77">
        <f t="shared" si="209"/>
        <v>0</v>
      </c>
      <c r="BQ169" s="77">
        <v>0</v>
      </c>
      <c r="BR169" s="80">
        <f t="shared" si="217"/>
        <v>92325.4</v>
      </c>
    </row>
    <row r="170" spans="1:70" outlineLevel="1" x14ac:dyDescent="0.35">
      <c r="A170" s="1" t="s">
        <v>6</v>
      </c>
      <c r="B170" s="1" t="s">
        <v>156</v>
      </c>
      <c r="C170" s="1" t="s">
        <v>8</v>
      </c>
      <c r="D170" s="1" t="s">
        <v>140</v>
      </c>
      <c r="E170" s="1" t="s">
        <v>89</v>
      </c>
      <c r="F170" s="2">
        <v>1</v>
      </c>
      <c r="G170" s="66">
        <v>1</v>
      </c>
      <c r="H170" s="66">
        <v>1</v>
      </c>
      <c r="I170" s="1" t="s">
        <v>611</v>
      </c>
      <c r="J170" s="1" t="s">
        <v>612</v>
      </c>
      <c r="K170" s="1" t="s">
        <v>171</v>
      </c>
      <c r="L170" s="76" t="str">
        <f>IF(M170="","N",STEP!$J$22)</f>
        <v>Y</v>
      </c>
      <c r="M170" s="1" t="s">
        <v>158</v>
      </c>
      <c r="N170" s="1" t="s">
        <v>159</v>
      </c>
      <c r="O170" s="1">
        <v>1</v>
      </c>
      <c r="P170" s="1">
        <v>2</v>
      </c>
      <c r="Q170" s="185">
        <v>20220117</v>
      </c>
      <c r="R170" s="196">
        <v>44578</v>
      </c>
      <c r="S170" s="197">
        <f t="shared" si="188"/>
        <v>8</v>
      </c>
      <c r="T170" s="66">
        <f t="shared" si="189"/>
        <v>1</v>
      </c>
      <c r="U170" s="65">
        <v>20220214</v>
      </c>
      <c r="V170" s="70">
        <v>22.4011</v>
      </c>
      <c r="W170" s="74">
        <f t="shared" si="219"/>
        <v>0.92130000000000001</v>
      </c>
      <c r="X170" s="70" cm="1">
        <f t="array" ref="X170">IF(U170="","",INDEX(STEP!$C:$C,MATCH('Position Control'!M170&amp;'Position Control'!P170,STEP!$A:$A&amp;STEP!$B:$B,0)))</f>
        <v>23.241099999999999</v>
      </c>
      <c r="Y170" s="74">
        <f t="shared" si="190"/>
        <v>7.8700000000000006E-2</v>
      </c>
      <c r="Z170" s="1">
        <v>7704</v>
      </c>
      <c r="AA170" s="112">
        <f>VLOOKUP(Z170,'WRK COMP'!$A$1:$E$17,5,FALSE)</f>
        <v>1.2449999999999999E-2</v>
      </c>
      <c r="AB170" s="76" t="s">
        <v>13</v>
      </c>
      <c r="AC170" s="68">
        <v>0</v>
      </c>
      <c r="AD170" s="209">
        <v>0</v>
      </c>
      <c r="AE170" s="209">
        <v>0</v>
      </c>
      <c r="AF170" s="209">
        <v>0</v>
      </c>
      <c r="AG170" s="209">
        <v>0</v>
      </c>
      <c r="AH170" s="68">
        <v>0</v>
      </c>
      <c r="AI170" s="68">
        <v>0</v>
      </c>
      <c r="AJ170" s="10" t="s">
        <v>14</v>
      </c>
      <c r="AK170" s="10" t="s">
        <v>15</v>
      </c>
      <c r="AL170" s="10" t="s">
        <v>16</v>
      </c>
      <c r="AM170" s="78">
        <f>IF(F170&gt;0.79,IF(ROUNDUP(IF(B170="FS",(V170*HRS!$B$9),(V170*HRS!$L$2))*2,-3)&gt;150000,150000,(ROUNDUP(IF(B170="FS",(V170*HRS!$B$9),(V170*HRS!$L$2))*2,-3))),0)</f>
        <v>123000</v>
      </c>
      <c r="AN170" s="188">
        <f t="shared" si="215"/>
        <v>61336</v>
      </c>
      <c r="AO170" s="77">
        <f>IF(L170="N",IF(B170="FS",ROUNDUP($V170*HRS!$B$9*'Position Control'!F170,0),ROUNDUP('Position Control'!$V170*HRS!$L$2*'Position Control'!F170,0)),IF('Position Control'!B170="FS",ROUNDUP(('Position Control'!V170*HRS!$B$9*'Position Control'!W170*'Position Control'!F170)+('Position Control'!X170*HRS!$B$9*'Position Control'!Y170*'Position Control'!F170),0),ROUNDUP(('Position Control'!V170*HRS!$L$2*'Position Control'!W170*'Position Control'!F170)+('Position Control'!X170*HRS!$L$2*'Position Control'!Y170*'Position Control'!F170),0)))*'Position Control'!H170</f>
        <v>61336</v>
      </c>
      <c r="AP170" s="77">
        <f t="shared" si="192"/>
        <v>0</v>
      </c>
      <c r="AQ170" s="77">
        <f t="shared" si="193"/>
        <v>0</v>
      </c>
      <c r="AR170" s="77">
        <f t="shared" si="194"/>
        <v>0</v>
      </c>
      <c r="AS170" s="77">
        <v>0</v>
      </c>
      <c r="AT170" s="79">
        <f t="shared" si="195"/>
        <v>0</v>
      </c>
      <c r="AU170" s="77">
        <f t="shared" si="196"/>
        <v>0</v>
      </c>
      <c r="AV170" s="77">
        <v>0</v>
      </c>
      <c r="AW170" s="77">
        <f t="shared" si="197"/>
        <v>0</v>
      </c>
      <c r="AX170" s="77">
        <f t="shared" si="198"/>
        <v>0</v>
      </c>
      <c r="AY170" s="77">
        <f t="shared" si="199"/>
        <v>0</v>
      </c>
      <c r="AZ170" s="77">
        <f t="shared" si="200"/>
        <v>0</v>
      </c>
      <c r="BA170" s="77">
        <f t="shared" si="201"/>
        <v>0</v>
      </c>
      <c r="BB170" s="77">
        <f t="shared" si="202"/>
        <v>0</v>
      </c>
      <c r="BC170" s="77">
        <f t="shared" si="221"/>
        <v>0</v>
      </c>
      <c r="BD170" s="77">
        <f t="shared" si="220"/>
        <v>0</v>
      </c>
      <c r="BE170" s="77">
        <f t="shared" si="216"/>
        <v>5060</v>
      </c>
      <c r="BF170" s="77">
        <f t="shared" si="204"/>
        <v>147.60000000000002</v>
      </c>
      <c r="BG170" s="77">
        <f>VLOOKUP($AJ170,BENE!$I$2:$N$9,6,FALSE)*'Position Control'!$H170</f>
        <v>389</v>
      </c>
      <c r="BH170" s="77">
        <f>VLOOKUP($AK170,BENE!$A$2:$F$19,6,FALSE)*'Position Control'!$H170</f>
        <v>6142</v>
      </c>
      <c r="BI170" s="77">
        <f>VLOOKUP($AK170,BENE!$A$2:$G$19,7,FALSE)*'Position Control'!$H170</f>
        <v>1000</v>
      </c>
      <c r="BJ170" s="77">
        <f>VLOOKUP($AL170,BENE!$P$2:$S$6,4,FALSE)*'Position Control'!$H170</f>
        <v>240</v>
      </c>
      <c r="BK170" s="77">
        <f>IF($F170&gt;HRS!$H$2,ROUNDUP(((($AN170+$BE170)*$BK$3)/12*9)+(($AN170+$BE170)*HRS!$B$10/12*3),0),0)*$H170</f>
        <v>11195</v>
      </c>
      <c r="BL170" s="80">
        <f t="shared" si="205"/>
        <v>764</v>
      </c>
      <c r="BM170" s="77">
        <f t="shared" si="206"/>
        <v>144</v>
      </c>
      <c r="BN170" s="77">
        <f t="shared" si="207"/>
        <v>890</v>
      </c>
      <c r="BO170" s="77">
        <f t="shared" si="208"/>
        <v>110</v>
      </c>
      <c r="BP170" s="77">
        <f t="shared" si="209"/>
        <v>0</v>
      </c>
      <c r="BQ170" s="77">
        <v>0</v>
      </c>
      <c r="BR170" s="80">
        <f t="shared" si="217"/>
        <v>87417.600000000006</v>
      </c>
    </row>
    <row r="171" spans="1:70" outlineLevel="1" x14ac:dyDescent="0.35">
      <c r="A171" s="1" t="s">
        <v>6</v>
      </c>
      <c r="B171" s="1" t="s">
        <v>156</v>
      </c>
      <c r="C171" s="1" t="s">
        <v>8</v>
      </c>
      <c r="D171" s="1" t="s">
        <v>140</v>
      </c>
      <c r="E171" s="1" t="s">
        <v>89</v>
      </c>
      <c r="F171" s="2">
        <v>1</v>
      </c>
      <c r="G171" s="66">
        <v>0</v>
      </c>
      <c r="H171" s="66">
        <v>1</v>
      </c>
      <c r="I171" s="10" t="s">
        <v>409</v>
      </c>
      <c r="J171" s="10" t="s">
        <v>410</v>
      </c>
      <c r="K171" s="1"/>
      <c r="L171" s="76" t="str">
        <f>IF(M171="","N",STEP!$J$22)</f>
        <v>N</v>
      </c>
      <c r="M171" s="1"/>
      <c r="N171" s="1"/>
      <c r="O171" s="1"/>
      <c r="P171" s="1"/>
      <c r="Q171" s="185">
        <v>20221002</v>
      </c>
      <c r="R171" s="196">
        <v>44836</v>
      </c>
      <c r="S171" s="197">
        <f t="shared" si="188"/>
        <v>0</v>
      </c>
      <c r="T171" s="66">
        <f t="shared" si="189"/>
        <v>0</v>
      </c>
      <c r="U171" s="1"/>
      <c r="V171" s="70">
        <v>0</v>
      </c>
      <c r="W171" s="74"/>
      <c r="X171" s="70"/>
      <c r="Y171" s="74"/>
      <c r="Z171" s="1">
        <v>7704</v>
      </c>
      <c r="AA171" s="112">
        <f>VLOOKUP(Z171,'WRK COMP'!$A$1:$E$17,5,FALSE)</f>
        <v>1.2449999999999999E-2</v>
      </c>
      <c r="AB171" s="76" t="s">
        <v>13</v>
      </c>
      <c r="AC171" s="68">
        <v>0</v>
      </c>
      <c r="AD171" s="68">
        <v>0</v>
      </c>
      <c r="AE171" s="68">
        <v>0</v>
      </c>
      <c r="AF171" s="68">
        <v>0</v>
      </c>
      <c r="AG171" s="68">
        <v>0</v>
      </c>
      <c r="AH171" s="68">
        <v>0</v>
      </c>
      <c r="AI171" s="68">
        <v>0</v>
      </c>
      <c r="AJ171" s="10" t="s">
        <v>49</v>
      </c>
      <c r="AK171" s="10" t="s">
        <v>49</v>
      </c>
      <c r="AL171" s="10" t="s">
        <v>49</v>
      </c>
      <c r="AM171" s="78">
        <f>IF(F171&gt;0.79,IF(ROUNDUP(IF(B171="FS",(V171*HRS!$B$9),(V171*HRS!$L$2))*2,-3)&gt;150000,150000,(ROUNDUP(IF(B171="FS",(V171*HRS!$B$9),(V171*HRS!$L$2))*2,-3))),0)</f>
        <v>0</v>
      </c>
      <c r="AN171" s="188">
        <f t="shared" si="215"/>
        <v>32000</v>
      </c>
      <c r="AO171" s="77">
        <f>IF(L171="N",IF(B171="FS",ROUNDUP($V171*HRS!$B$9*'Position Control'!F171,0),ROUNDUP('Position Control'!$V171*HRS!$L$2*'Position Control'!F171,0)),IF('Position Control'!B171="FS",ROUNDUP(('Position Control'!V171*HRS!$B$9*'Position Control'!W171*'Position Control'!F171)+('Position Control'!X171*HRS!$B$9*'Position Control'!Y171*'Position Control'!F171),0),ROUNDUP(('Position Control'!V171*HRS!$L$2*'Position Control'!W171*'Position Control'!F171)+('Position Control'!X171*HRS!$L$2*'Position Control'!Y171*'Position Control'!F171),0)))*'Position Control'!H171</f>
        <v>0</v>
      </c>
      <c r="AP171" s="77">
        <f t="shared" si="192"/>
        <v>0</v>
      </c>
      <c r="AQ171" s="77">
        <f t="shared" si="193"/>
        <v>0</v>
      </c>
      <c r="AR171" s="77">
        <f t="shared" si="194"/>
        <v>0</v>
      </c>
      <c r="AS171" s="77">
        <f>'DIVISION BUDGETS'!B24</f>
        <v>32000</v>
      </c>
      <c r="AT171" s="79">
        <f t="shared" si="195"/>
        <v>0</v>
      </c>
      <c r="AU171" s="77">
        <f t="shared" si="196"/>
        <v>0</v>
      </c>
      <c r="AV171" s="77">
        <v>0</v>
      </c>
      <c r="AW171" s="77">
        <f t="shared" si="197"/>
        <v>0</v>
      </c>
      <c r="AX171" s="77">
        <f t="shared" si="198"/>
        <v>0</v>
      </c>
      <c r="AY171" s="77">
        <f t="shared" si="199"/>
        <v>0</v>
      </c>
      <c r="AZ171" s="77">
        <f t="shared" si="200"/>
        <v>0</v>
      </c>
      <c r="BA171" s="77">
        <f t="shared" si="201"/>
        <v>0</v>
      </c>
      <c r="BB171" s="77">
        <f t="shared" si="202"/>
        <v>0</v>
      </c>
      <c r="BC171" s="77">
        <f t="shared" si="221"/>
        <v>0</v>
      </c>
      <c r="BD171" s="77">
        <f t="shared" si="220"/>
        <v>0</v>
      </c>
      <c r="BE171" s="77">
        <f>500000-SUM(BE134:BE170)</f>
        <v>257360</v>
      </c>
      <c r="BF171" s="77">
        <f t="shared" si="204"/>
        <v>0</v>
      </c>
      <c r="BG171" s="77">
        <f>VLOOKUP($AJ171,BENE!$I$2:$N$9,6,FALSE)*'Position Control'!$H171</f>
        <v>0</v>
      </c>
      <c r="BH171" s="77">
        <f>VLOOKUP($AK171,BENE!$A$2:$F$19,6,FALSE)*'Position Control'!$H171</f>
        <v>0</v>
      </c>
      <c r="BI171" s="77">
        <f>VLOOKUP($AK171,BENE!$A$2:$G$19,7,FALSE)*'Position Control'!$H171</f>
        <v>0</v>
      </c>
      <c r="BJ171" s="77">
        <f>VLOOKUP($AL171,BENE!$P$2:$S$6,4,FALSE)*'Position Control'!$H171</f>
        <v>0</v>
      </c>
      <c r="BK171" s="77">
        <f>IF($F171&gt;HRS!$H$2,ROUNDUP(((($AN171+$BE171)*$BK$3)/12*9)+(($AN171+$BE171)*HRS!$B$10/12*3),0),0)*$H171</f>
        <v>48787</v>
      </c>
      <c r="BL171" s="80">
        <f t="shared" si="205"/>
        <v>399</v>
      </c>
      <c r="BM171" s="77">
        <f t="shared" si="206"/>
        <v>144</v>
      </c>
      <c r="BN171" s="77">
        <f t="shared" si="207"/>
        <v>464</v>
      </c>
      <c r="BO171" s="77">
        <f t="shared" si="208"/>
        <v>58</v>
      </c>
      <c r="BP171" s="77">
        <f t="shared" si="209"/>
        <v>0</v>
      </c>
      <c r="BQ171" s="77">
        <f>'DIVISION BUDGETS'!G24</f>
        <v>5470</v>
      </c>
      <c r="BR171" s="80">
        <f t="shared" si="217"/>
        <v>344682</v>
      </c>
    </row>
    <row r="172" spans="1:70" s="171" customFormat="1" x14ac:dyDescent="0.35">
      <c r="A172" s="161"/>
      <c r="B172" s="161"/>
      <c r="C172" s="161"/>
      <c r="D172" s="161"/>
      <c r="E172" s="161"/>
      <c r="F172" s="162"/>
      <c r="G172" s="163">
        <f>SUBTOTAL(9,G134:G171)</f>
        <v>37</v>
      </c>
      <c r="H172" s="163"/>
      <c r="I172" s="161" t="s">
        <v>560</v>
      </c>
      <c r="J172" s="161"/>
      <c r="K172" s="161"/>
      <c r="L172" s="164"/>
      <c r="M172" s="161"/>
      <c r="N172" s="161"/>
      <c r="O172" s="161"/>
      <c r="P172" s="161"/>
      <c r="Q172" s="186"/>
      <c r="R172" s="200"/>
      <c r="S172" s="208"/>
      <c r="T172" s="163"/>
      <c r="U172" s="161"/>
      <c r="V172" s="165"/>
      <c r="W172" s="166"/>
      <c r="X172" s="165"/>
      <c r="Y172" s="166"/>
      <c r="Z172" s="161"/>
      <c r="AA172" s="167"/>
      <c r="AB172" s="164"/>
      <c r="AC172" s="168"/>
      <c r="AD172" s="168"/>
      <c r="AE172" s="168"/>
      <c r="AF172" s="168"/>
      <c r="AG172" s="168"/>
      <c r="AH172" s="168"/>
      <c r="AI172" s="168"/>
      <c r="AJ172" s="161"/>
      <c r="AK172" s="161"/>
      <c r="AL172" s="161"/>
      <c r="AM172" s="169"/>
      <c r="AN172" s="189">
        <f t="shared" ref="AN172:BR172" si="222">SUBTOTAL(9,AN134:AN171)</f>
        <v>3076770</v>
      </c>
      <c r="AO172" s="170">
        <f t="shared" si="222"/>
        <v>2941570</v>
      </c>
      <c r="AP172" s="170">
        <f t="shared" si="222"/>
        <v>0</v>
      </c>
      <c r="AQ172" s="170">
        <f t="shared" si="222"/>
        <v>54000</v>
      </c>
      <c r="AR172" s="170">
        <f t="shared" si="222"/>
        <v>37200</v>
      </c>
      <c r="AS172" s="170">
        <f t="shared" si="222"/>
        <v>32000</v>
      </c>
      <c r="AT172" s="170">
        <f t="shared" si="222"/>
        <v>0</v>
      </c>
      <c r="AU172" s="170">
        <f t="shared" si="222"/>
        <v>0</v>
      </c>
      <c r="AV172" s="170">
        <f t="shared" si="222"/>
        <v>0</v>
      </c>
      <c r="AW172" s="170">
        <f t="shared" si="222"/>
        <v>12000</v>
      </c>
      <c r="AX172" s="170">
        <f t="shared" si="222"/>
        <v>0</v>
      </c>
      <c r="AY172" s="170">
        <f t="shared" si="222"/>
        <v>0</v>
      </c>
      <c r="AZ172" s="170">
        <f t="shared" si="222"/>
        <v>0</v>
      </c>
      <c r="BA172" s="170">
        <f t="shared" si="222"/>
        <v>0</v>
      </c>
      <c r="BB172" s="170">
        <f t="shared" si="222"/>
        <v>0</v>
      </c>
      <c r="BC172" s="170">
        <f t="shared" si="222"/>
        <v>0</v>
      </c>
      <c r="BD172" s="170">
        <f t="shared" si="222"/>
        <v>21465</v>
      </c>
      <c r="BE172" s="170">
        <f t="shared" si="222"/>
        <v>500000</v>
      </c>
      <c r="BF172" s="170">
        <f t="shared" si="222"/>
        <v>6320.4000000000015</v>
      </c>
      <c r="BG172" s="170">
        <f t="shared" si="222"/>
        <v>15968</v>
      </c>
      <c r="BH172" s="170">
        <f t="shared" si="222"/>
        <v>369809</v>
      </c>
      <c r="BI172" s="170">
        <f t="shared" si="222"/>
        <v>19000</v>
      </c>
      <c r="BJ172" s="170">
        <f t="shared" si="222"/>
        <v>5040</v>
      </c>
      <c r="BK172" s="170">
        <f t="shared" si="222"/>
        <v>603062</v>
      </c>
      <c r="BL172" s="170">
        <f t="shared" si="222"/>
        <v>38326</v>
      </c>
      <c r="BM172" s="170">
        <f t="shared" si="222"/>
        <v>5472</v>
      </c>
      <c r="BN172" s="170">
        <f t="shared" si="222"/>
        <v>44631</v>
      </c>
      <c r="BO172" s="170">
        <f t="shared" si="222"/>
        <v>5535</v>
      </c>
      <c r="BP172" s="170">
        <f t="shared" si="222"/>
        <v>26250</v>
      </c>
      <c r="BQ172" s="170">
        <f t="shared" si="222"/>
        <v>5470</v>
      </c>
      <c r="BR172" s="170">
        <f t="shared" si="222"/>
        <v>4743118.3999999985</v>
      </c>
    </row>
    <row r="173" spans="1:70" outlineLevel="1" x14ac:dyDescent="0.35">
      <c r="A173" s="10" t="s">
        <v>6</v>
      </c>
      <c r="B173" s="10" t="s">
        <v>7</v>
      </c>
      <c r="C173" s="1" t="s">
        <v>8</v>
      </c>
      <c r="D173" s="1" t="s">
        <v>202</v>
      </c>
      <c r="E173" s="1" t="s">
        <v>203</v>
      </c>
      <c r="F173" s="2">
        <v>1</v>
      </c>
      <c r="G173" s="66">
        <v>1</v>
      </c>
      <c r="H173" s="66">
        <v>1</v>
      </c>
      <c r="I173" s="10" t="s">
        <v>411</v>
      </c>
      <c r="J173" s="10" t="s">
        <v>408</v>
      </c>
      <c r="K173" s="10" t="s">
        <v>412</v>
      </c>
      <c r="L173" s="76" t="str">
        <f>IF(M173="","N",STEP!$J$22)</f>
        <v>N</v>
      </c>
      <c r="M173" s="1"/>
      <c r="N173" s="1"/>
      <c r="O173" s="1"/>
      <c r="P173" s="1"/>
      <c r="Q173" s="185">
        <v>20221002</v>
      </c>
      <c r="R173" s="196">
        <v>44836</v>
      </c>
      <c r="S173" s="197">
        <f t="shared" ref="S173:S186" si="223">IF(A173="FT",IF(R173&gt;$S$1,0,(DATEDIF(R173,$S$1,"M"))),0)</f>
        <v>0</v>
      </c>
      <c r="T173" s="66">
        <f t="shared" ref="T173:T186" si="224">ROUNDDOWN(IF(A173="FT",DATEDIF(R173,$T$1,"y"),0),0)</f>
        <v>0</v>
      </c>
      <c r="U173" s="1"/>
      <c r="V173" s="70">
        <v>52.08</v>
      </c>
      <c r="W173" s="74"/>
      <c r="X173" s="70"/>
      <c r="Y173" s="74"/>
      <c r="Z173" s="1">
        <v>9102</v>
      </c>
      <c r="AA173" s="112">
        <f>VLOOKUP(Z173,'WRK COMP'!$A$1:$E$17,5,FALSE)</f>
        <v>8.9280000000000002E-3</v>
      </c>
      <c r="AB173" s="76" t="s">
        <v>13</v>
      </c>
      <c r="AC173" s="68">
        <v>0</v>
      </c>
      <c r="AD173" s="68">
        <v>0</v>
      </c>
      <c r="AE173" s="68">
        <v>0</v>
      </c>
      <c r="AF173" s="68">
        <v>0</v>
      </c>
      <c r="AG173" s="68">
        <v>0</v>
      </c>
      <c r="AH173" s="68">
        <v>0</v>
      </c>
      <c r="AI173" s="68">
        <v>0</v>
      </c>
      <c r="AJ173" s="10" t="s">
        <v>49</v>
      </c>
      <c r="AK173" s="10" t="s">
        <v>49</v>
      </c>
      <c r="AL173" s="10" t="s">
        <v>49</v>
      </c>
      <c r="AM173" s="78">
        <f>IF(F173&gt;0.79,IF(ROUNDUP(IF(B173="FS",(V173*HRS!$B$9),(V173*HRS!$L$2))*2,-3)&gt;150000,150000,(ROUNDUP(IF(B173="FS",(V173*HRS!$B$9),(V173*HRS!$L$2))*2,-3))),0)</f>
        <v>150000</v>
      </c>
      <c r="AN173" s="188">
        <f t="shared" ref="AN173:AN186" si="225">SUM(AO173:BB173)</f>
        <v>108327</v>
      </c>
      <c r="AO173" s="77">
        <f>IF(L173="N",IF(B173="FS",ROUNDUP($V173*HRS!$B$9*'Position Control'!F173,0),ROUNDUP('Position Control'!$V173*HRS!$L$2*'Position Control'!F173,0)),IF('Position Control'!B173="FS",ROUNDUP(('Position Control'!V173*HRS!$B$9*'Position Control'!W173*'Position Control'!F173)+('Position Control'!X173*HRS!$B$9*'Position Control'!Y173*'Position Control'!F173),0),ROUNDUP(('Position Control'!V173*HRS!$L$2*'Position Control'!W173*'Position Control'!F173)+('Position Control'!X173*HRS!$L$2*'Position Control'!Y173*'Position Control'!F173),0)))*'Position Control'!H173</f>
        <v>108327</v>
      </c>
      <c r="AP173" s="77">
        <f t="shared" ref="AP173:AP186" si="226">ROUNDUP(52*AC173,0)*H173</f>
        <v>0</v>
      </c>
      <c r="AQ173" s="77">
        <f t="shared" ref="AQ173:AQ186" si="227">IF(B173="FS",ROUNDUP(24*AD173,0),IF(B173="POL",ROUNDUP(26*AD173,0),ROUNDUP(52*AD173,0)))*$H173</f>
        <v>0</v>
      </c>
      <c r="AR173" s="77">
        <f t="shared" ref="AR173:AR186" si="228">IF(B173="FS",ROUNDUP(AG173*24,0),ROUNDUP(52*AG173,0))*H173</f>
        <v>0</v>
      </c>
      <c r="AS173" s="77">
        <v>0</v>
      </c>
      <c r="AT173" s="79">
        <f t="shared" ref="AT173:AT186" si="229">ROUNDUP(26*AF173,0)*H173</f>
        <v>0</v>
      </c>
      <c r="AU173" s="77">
        <f t="shared" ref="AU173:AU186" si="230">IF(B173="FS",ROUNDUP(24*AH173,0),IF(B173="POL",ROUNDUP(26*AH173,0),ROUNDUP(48*AH173,0)))*$H173</f>
        <v>0</v>
      </c>
      <c r="AV173" s="77">
        <v>0</v>
      </c>
      <c r="AW173" s="77">
        <f t="shared" ref="AW173:AW186" si="231">IF(B173="FS",ROUNDUP(24*AE173,0),IF(B173="POL",ROUNDUP(26*AE173,0),ROUNDUP(52*AE173,0)))*$H173</f>
        <v>0</v>
      </c>
      <c r="AX173" s="77">
        <f t="shared" ref="AX173:AX186" si="232">IF(AND(Q173&lt;20220401,A173&lt;&gt;"SP"),($AX$3*(AO173+BE173)),0)</f>
        <v>0</v>
      </c>
      <c r="AY173" s="77">
        <f t="shared" ref="AY173:AY186" si="233">IF(AND($L173="N",$Q173&lt;20220401,$A173&lt;&gt;"SP",$AO173&lt;100000),($AY$3*($AO173+$BE173)),0)</f>
        <v>0</v>
      </c>
      <c r="AZ173" s="77">
        <f t="shared" ref="AZ173:AZ186" si="234">IF(AND($L173="N",$Q173&lt;20220401,$A173&lt;&gt;"SP",$AO173&gt;100000),($AZ$3*($AO173+$BE173)),0)</f>
        <v>0</v>
      </c>
      <c r="BA173" s="77">
        <f t="shared" ref="BA173:BA186" si="235">IF(AND($L173="N",$Q173&lt;20220401,$A173&lt;&gt;"SP"),($BA$3*($AO173+$BE173)),0)</f>
        <v>0</v>
      </c>
      <c r="BB173" s="77">
        <f t="shared" ref="BB173:BB186" si="236">IF(AND($L173="Y",$Q173&lt;20220401,$A173&lt;&gt;"SP"),($BB$3*($AO173+$BE173)),0)</f>
        <v>0</v>
      </c>
      <c r="BC173" s="77">
        <f t="shared" si="221"/>
        <v>0</v>
      </c>
      <c r="BD173" s="77">
        <f>IF($S173&gt;=12,IF(($S173*5)&gt;1200,1200,$S173*5),0)*$H173</f>
        <v>0</v>
      </c>
      <c r="BE173" s="77">
        <v>0</v>
      </c>
      <c r="BF173" s="77">
        <f t="shared" ref="BF173:BF186" si="237">$AM173*$BF$3*12*$H173</f>
        <v>180</v>
      </c>
      <c r="BG173" s="77">
        <f>VLOOKUP($AJ173,BENE!$I$2:$N$9,6,FALSE)*'Position Control'!$H173</f>
        <v>0</v>
      </c>
      <c r="BH173" s="77">
        <f>VLOOKUP($AK173,BENE!$A$2:$F$19,6,FALSE)*'Position Control'!$H173</f>
        <v>0</v>
      </c>
      <c r="BI173" s="77">
        <f>VLOOKUP($AK173,BENE!$A$2:$G$19,7,FALSE)*'Position Control'!$H173</f>
        <v>0</v>
      </c>
      <c r="BJ173" s="77">
        <f>VLOOKUP($AL173,BENE!$P$2:$S$6,4,FALSE)*'Position Control'!$H173</f>
        <v>0</v>
      </c>
      <c r="BK173" s="77">
        <f>IF($F173&gt;HRS!$H$2,ROUNDUP(((($AN173+$BE173)*$BK$3)/12*9)+(($AN173+$BE173)*HRS!$B$10/12*3),0),0)*$H173</f>
        <v>18264</v>
      </c>
      <c r="BL173" s="80">
        <f t="shared" ref="BL173:BL186" si="238">ROUNDUP($AN173*$AA173,0)*$H173</f>
        <v>968</v>
      </c>
      <c r="BM173" s="77">
        <f t="shared" ref="BM173:BM186" si="239">ROUNDUP(IF($AN173&gt;9000,$BM$3*9000,$BM$3*$AN173),0)*$H173</f>
        <v>144</v>
      </c>
      <c r="BN173" s="77">
        <f t="shared" ref="BN173:BN186" si="240">IF($AB173="Y",ROUNDUP($AN173*$BN$3,0),0)*$H173</f>
        <v>1571</v>
      </c>
      <c r="BO173" s="77">
        <f t="shared" ref="BO173:BO186" si="241">IF($A173&lt;&gt;"SP",ROUND($BO$3*$AN173,0)*$H173,0)</f>
        <v>195</v>
      </c>
      <c r="BP173" s="77">
        <f t="shared" ref="BP173:BP186" si="242">IF($T173&gt;24,2000,IF($T173&gt;19,1750,IF($T173&gt;14,1500,IF($T173&gt;9.9999999999999,1000,0))))*$H173</f>
        <v>0</v>
      </c>
      <c r="BQ173" s="77">
        <v>0</v>
      </c>
      <c r="BR173" s="80">
        <f t="shared" ref="BR173:BR186" si="243">SUM(AO173:AW173)+SUM(BC173:BQ173)</f>
        <v>129649</v>
      </c>
    </row>
    <row r="174" spans="1:70" outlineLevel="1" x14ac:dyDescent="0.35">
      <c r="A174" s="1" t="s">
        <v>6</v>
      </c>
      <c r="B174" s="1" t="s">
        <v>7</v>
      </c>
      <c r="C174" s="1" t="s">
        <v>8</v>
      </c>
      <c r="D174" s="1" t="s">
        <v>202</v>
      </c>
      <c r="E174" s="1" t="s">
        <v>203</v>
      </c>
      <c r="F174" s="2">
        <v>1</v>
      </c>
      <c r="G174" s="66">
        <v>1</v>
      </c>
      <c r="H174" s="66">
        <v>1</v>
      </c>
      <c r="I174" s="1" t="s">
        <v>611</v>
      </c>
      <c r="J174" s="1" t="s">
        <v>612</v>
      </c>
      <c r="K174" s="1" t="s">
        <v>206</v>
      </c>
      <c r="L174" s="76" t="str">
        <f>IF(M174="","N",STEP!$J$22)</f>
        <v>N</v>
      </c>
      <c r="M174" s="1" t="s">
        <v>11</v>
      </c>
      <c r="N174" s="1" t="s">
        <v>11</v>
      </c>
      <c r="O174" s="1" t="s">
        <v>11</v>
      </c>
      <c r="P174" s="1"/>
      <c r="Q174" s="185">
        <v>19820208</v>
      </c>
      <c r="R174" s="196">
        <v>29990</v>
      </c>
      <c r="S174" s="197">
        <f t="shared" si="223"/>
        <v>487</v>
      </c>
      <c r="T174" s="66">
        <f t="shared" si="224"/>
        <v>41</v>
      </c>
      <c r="U174" s="65" t="s">
        <v>11</v>
      </c>
      <c r="V174" s="70">
        <v>48.629800000000003</v>
      </c>
      <c r="W174" s="74" t="str">
        <f t="shared" si="219"/>
        <v/>
      </c>
      <c r="X174" s="70" t="str" cm="1">
        <f t="array" ref="X174">IF(U174="","",INDEX(STEP!$C:$C,MATCH('Position Control'!M174&amp;'Position Control'!P174,STEP!$A:$A&amp;STEP!$B:$B,0)))</f>
        <v/>
      </c>
      <c r="Y174" s="74" t="str">
        <f t="shared" ref="Y174:Y185" si="244">IF(L174="Y",(20221001-U174)/10000,"")</f>
        <v/>
      </c>
      <c r="Z174" s="1">
        <v>9102</v>
      </c>
      <c r="AA174" s="112">
        <f>VLOOKUP(Z174,'WRK COMP'!$A$1:$E$17,5,FALSE)</f>
        <v>8.9280000000000002E-3</v>
      </c>
      <c r="AB174" s="76" t="s">
        <v>51</v>
      </c>
      <c r="AC174" s="68">
        <v>0</v>
      </c>
      <c r="AD174" s="209">
        <v>5.77</v>
      </c>
      <c r="AE174" s="68">
        <v>0</v>
      </c>
      <c r="AF174" s="68">
        <v>0</v>
      </c>
      <c r="AG174" s="68">
        <v>0</v>
      </c>
      <c r="AH174" s="68">
        <v>0</v>
      </c>
      <c r="AI174" s="68">
        <v>0</v>
      </c>
      <c r="AJ174" s="10" t="s">
        <v>14</v>
      </c>
      <c r="AK174" s="10" t="s">
        <v>15</v>
      </c>
      <c r="AL174" s="10" t="s">
        <v>49</v>
      </c>
      <c r="AM174" s="78">
        <f>IF(F174&gt;0.79,IF(ROUNDUP(IF(B174="FS",(V174*HRS!$B$9),(V174*HRS!$L$2))*2,-3)&gt;150000,150000,(ROUNDUP(IF(B174="FS",(V174*HRS!$B$9),(V174*HRS!$L$2))*2,-3))),0)</f>
        <v>150000</v>
      </c>
      <c r="AN174" s="188">
        <f t="shared" si="225"/>
        <v>101451</v>
      </c>
      <c r="AO174" s="77">
        <f>IF(L174="N",IF(B174="FS",ROUNDUP($V174*HRS!$B$9*'Position Control'!F174,0),ROUNDUP('Position Control'!$V174*HRS!$L$2*'Position Control'!F174,0)),IF('Position Control'!B174="FS",ROUNDUP(('Position Control'!V174*HRS!$B$9*'Position Control'!W174*'Position Control'!F174)+('Position Control'!X174*HRS!$B$9*'Position Control'!Y174*'Position Control'!F174),0),ROUNDUP(('Position Control'!V174*HRS!$L$2*'Position Control'!W174*'Position Control'!F174)+('Position Control'!X174*HRS!$L$2*'Position Control'!Y174*'Position Control'!F174),0)))*'Position Control'!H174</f>
        <v>101150</v>
      </c>
      <c r="AP174" s="77">
        <f t="shared" si="226"/>
        <v>0</v>
      </c>
      <c r="AQ174" s="77">
        <f t="shared" si="227"/>
        <v>301</v>
      </c>
      <c r="AR174" s="77">
        <f t="shared" si="228"/>
        <v>0</v>
      </c>
      <c r="AS174" s="77">
        <v>0</v>
      </c>
      <c r="AT174" s="79">
        <f t="shared" si="229"/>
        <v>0</v>
      </c>
      <c r="AU174" s="77">
        <f t="shared" si="230"/>
        <v>0</v>
      </c>
      <c r="AV174" s="77">
        <v>0</v>
      </c>
      <c r="AW174" s="77">
        <f t="shared" si="231"/>
        <v>0</v>
      </c>
      <c r="AX174" s="77">
        <f t="shared" si="232"/>
        <v>0</v>
      </c>
      <c r="AY174" s="77">
        <f t="shared" si="233"/>
        <v>0</v>
      </c>
      <c r="AZ174" s="77">
        <f t="shared" si="234"/>
        <v>0</v>
      </c>
      <c r="BA174" s="77">
        <f t="shared" si="235"/>
        <v>0</v>
      </c>
      <c r="BB174" s="77">
        <f t="shared" si="236"/>
        <v>0</v>
      </c>
      <c r="BC174" s="77">
        <f t="shared" si="221"/>
        <v>0</v>
      </c>
      <c r="BD174" s="77">
        <f t="shared" ref="BD174:BD181" si="245">IF($S174&gt;=12,IF(($S174*5)&gt;1200,1200,$S174*5),0)*$H174</f>
        <v>1200</v>
      </c>
      <c r="BE174" s="77">
        <v>0</v>
      </c>
      <c r="BF174" s="77">
        <f t="shared" si="237"/>
        <v>180</v>
      </c>
      <c r="BG174" s="77">
        <f>VLOOKUP($AJ174,BENE!$I$2:$N$9,6,FALSE)*'Position Control'!$H174</f>
        <v>389</v>
      </c>
      <c r="BH174" s="77">
        <f>VLOOKUP($AK174,BENE!$A$2:$F$19,6,FALSE)*'Position Control'!$H174</f>
        <v>6142</v>
      </c>
      <c r="BI174" s="77">
        <f>VLOOKUP($AK174,BENE!$A$2:$G$19,7,FALSE)*'Position Control'!$H174</f>
        <v>1000</v>
      </c>
      <c r="BJ174" s="77">
        <f>VLOOKUP($AL174,BENE!$P$2:$S$6,4,FALSE)*'Position Control'!$H174</f>
        <v>0</v>
      </c>
      <c r="BK174" s="77">
        <f>IF($F174&gt;HRS!$H$2,ROUNDUP(((($AN174+$BE174)*$BK$3)/12*9)+(($AN174+$BE174)*HRS!$B$10/12*3),0),0)*$H174</f>
        <v>17105</v>
      </c>
      <c r="BL174" s="80">
        <f t="shared" si="238"/>
        <v>906</v>
      </c>
      <c r="BM174" s="77">
        <f t="shared" si="239"/>
        <v>144</v>
      </c>
      <c r="BN174" s="77">
        <f t="shared" si="240"/>
        <v>0</v>
      </c>
      <c r="BO174" s="77">
        <f t="shared" si="241"/>
        <v>183</v>
      </c>
      <c r="BP174" s="77">
        <f t="shared" si="242"/>
        <v>2000</v>
      </c>
      <c r="BQ174" s="77">
        <v>0</v>
      </c>
      <c r="BR174" s="80">
        <f t="shared" si="243"/>
        <v>130700</v>
      </c>
    </row>
    <row r="175" spans="1:70" outlineLevel="1" x14ac:dyDescent="0.35">
      <c r="A175" s="1" t="s">
        <v>6</v>
      </c>
      <c r="B175" s="1" t="s">
        <v>7</v>
      </c>
      <c r="C175" s="1" t="s">
        <v>8</v>
      </c>
      <c r="D175" s="1" t="s">
        <v>202</v>
      </c>
      <c r="E175" s="1" t="s">
        <v>203</v>
      </c>
      <c r="F175" s="2">
        <v>1</v>
      </c>
      <c r="G175" s="66">
        <v>1</v>
      </c>
      <c r="H175" s="66">
        <v>1</v>
      </c>
      <c r="I175" s="1" t="s">
        <v>611</v>
      </c>
      <c r="J175" s="1" t="s">
        <v>612</v>
      </c>
      <c r="K175" s="1" t="s">
        <v>210</v>
      </c>
      <c r="L175" s="76" t="str">
        <f>IF(M175="","N",STEP!$J$22)</f>
        <v>N</v>
      </c>
      <c r="M175" s="1" t="s">
        <v>11</v>
      </c>
      <c r="N175" s="1" t="s">
        <v>11</v>
      </c>
      <c r="O175" s="1" t="s">
        <v>11</v>
      </c>
      <c r="P175" s="1"/>
      <c r="Q175" s="185">
        <v>20000515</v>
      </c>
      <c r="R175" s="196">
        <v>36661</v>
      </c>
      <c r="S175" s="197">
        <f t="shared" si="223"/>
        <v>268</v>
      </c>
      <c r="T175" s="66">
        <f t="shared" si="224"/>
        <v>23</v>
      </c>
      <c r="U175" s="65" t="s">
        <v>11</v>
      </c>
      <c r="V175" s="70">
        <v>23.4724</v>
      </c>
      <c r="W175" s="74" t="str">
        <f t="shared" si="219"/>
        <v/>
      </c>
      <c r="X175" s="70" t="str" cm="1">
        <f t="array" ref="X175">IF(U175="","",INDEX(STEP!$C:$C,MATCH('Position Control'!M175&amp;'Position Control'!P175,STEP!$A:$A&amp;STEP!$B:$B,0)))</f>
        <v/>
      </c>
      <c r="Y175" s="74" t="str">
        <f t="shared" si="244"/>
        <v/>
      </c>
      <c r="Z175" s="1">
        <v>9102</v>
      </c>
      <c r="AA175" s="112">
        <f>VLOOKUP(Z175,'WRK COMP'!$A$1:$E$17,5,FALSE)</f>
        <v>8.9280000000000002E-3</v>
      </c>
      <c r="AB175" s="76" t="s">
        <v>13</v>
      </c>
      <c r="AC175" s="68">
        <v>0</v>
      </c>
      <c r="AD175" s="209">
        <v>17.309999999999999</v>
      </c>
      <c r="AE175" s="68">
        <v>0</v>
      </c>
      <c r="AF175" s="68">
        <v>0</v>
      </c>
      <c r="AG175" s="68">
        <v>0</v>
      </c>
      <c r="AH175" s="68">
        <v>0</v>
      </c>
      <c r="AI175" s="68">
        <v>0</v>
      </c>
      <c r="AJ175" s="10" t="s">
        <v>18</v>
      </c>
      <c r="AK175" s="10" t="s">
        <v>35</v>
      </c>
      <c r="AL175" s="10" t="s">
        <v>36</v>
      </c>
      <c r="AM175" s="78">
        <f>IF(F175&gt;0.79,IF(ROUNDUP(IF(B175="FS",(V175*HRS!$B$9),(V175*HRS!$L$2))*2,-3)&gt;150000,150000,(ROUNDUP(IF(B175="FS",(V175*HRS!$B$9),(V175*HRS!$L$2))*2,-3))),0)</f>
        <v>98000</v>
      </c>
      <c r="AN175" s="188">
        <f t="shared" si="225"/>
        <v>49724</v>
      </c>
      <c r="AO175" s="77">
        <f>IF(L175="N",IF(B175="FS",ROUNDUP($V175*HRS!$B$9*'Position Control'!F175,0),ROUNDUP('Position Control'!$V175*HRS!$L$2*'Position Control'!F175,0)),IF('Position Control'!B175="FS",ROUNDUP(('Position Control'!V175*HRS!$B$9*'Position Control'!W175*'Position Control'!F175)+('Position Control'!X175*HRS!$B$9*'Position Control'!Y175*'Position Control'!F175),0),ROUNDUP(('Position Control'!V175*HRS!$L$2*'Position Control'!W175*'Position Control'!F175)+('Position Control'!X175*HRS!$L$2*'Position Control'!Y175*'Position Control'!F175),0)))*'Position Control'!H175</f>
        <v>48823</v>
      </c>
      <c r="AP175" s="77">
        <f t="shared" si="226"/>
        <v>0</v>
      </c>
      <c r="AQ175" s="77">
        <f t="shared" si="227"/>
        <v>901</v>
      </c>
      <c r="AR175" s="77">
        <f t="shared" si="228"/>
        <v>0</v>
      </c>
      <c r="AS175" s="77">
        <v>0</v>
      </c>
      <c r="AT175" s="79">
        <f t="shared" si="229"/>
        <v>0</v>
      </c>
      <c r="AU175" s="77">
        <f t="shared" si="230"/>
        <v>0</v>
      </c>
      <c r="AV175" s="77">
        <v>0</v>
      </c>
      <c r="AW175" s="77">
        <f t="shared" si="231"/>
        <v>0</v>
      </c>
      <c r="AX175" s="77">
        <f t="shared" si="232"/>
        <v>0</v>
      </c>
      <c r="AY175" s="77">
        <f t="shared" si="233"/>
        <v>0</v>
      </c>
      <c r="AZ175" s="77">
        <f t="shared" si="234"/>
        <v>0</v>
      </c>
      <c r="BA175" s="77">
        <f t="shared" si="235"/>
        <v>0</v>
      </c>
      <c r="BB175" s="77">
        <f t="shared" si="236"/>
        <v>0</v>
      </c>
      <c r="BC175" s="77">
        <f t="shared" si="221"/>
        <v>0</v>
      </c>
      <c r="BD175" s="77">
        <f t="shared" si="245"/>
        <v>1200</v>
      </c>
      <c r="BE175" s="77">
        <v>0</v>
      </c>
      <c r="BF175" s="77">
        <f t="shared" si="237"/>
        <v>117.60000000000001</v>
      </c>
      <c r="BG175" s="77">
        <f>VLOOKUP($AJ175,BENE!$I$2:$N$9,6,FALSE)*'Position Control'!$H175</f>
        <v>760</v>
      </c>
      <c r="BH175" s="77">
        <f>VLOOKUP($AK175,BENE!$A$2:$F$19,6,FALSE)*'Position Control'!$H175</f>
        <v>10067</v>
      </c>
      <c r="BI175" s="77">
        <f>VLOOKUP($AK175,BENE!$A$2:$G$19,7,FALSE)*'Position Control'!$H175</f>
        <v>1500</v>
      </c>
      <c r="BJ175" s="77">
        <f>VLOOKUP($AL175,BENE!$P$2:$S$6,4,FALSE)*'Position Control'!$H175</f>
        <v>312</v>
      </c>
      <c r="BK175" s="77">
        <f>IF($F175&gt;HRS!$H$2,ROUNDUP(((($AN175+$BE175)*$BK$3)/12*9)+(($AN175+$BE175)*HRS!$B$10/12*3),0),0)*$H175</f>
        <v>8384</v>
      </c>
      <c r="BL175" s="80">
        <f t="shared" si="238"/>
        <v>444</v>
      </c>
      <c r="BM175" s="77">
        <f t="shared" si="239"/>
        <v>144</v>
      </c>
      <c r="BN175" s="77">
        <f t="shared" si="240"/>
        <v>721</v>
      </c>
      <c r="BO175" s="77">
        <f t="shared" si="241"/>
        <v>90</v>
      </c>
      <c r="BP175" s="77">
        <f t="shared" si="242"/>
        <v>1750</v>
      </c>
      <c r="BQ175" s="77">
        <v>0</v>
      </c>
      <c r="BR175" s="80">
        <f t="shared" si="243"/>
        <v>75213.600000000006</v>
      </c>
    </row>
    <row r="176" spans="1:70" outlineLevel="1" x14ac:dyDescent="0.35">
      <c r="A176" s="1" t="s">
        <v>6</v>
      </c>
      <c r="B176" s="1" t="s">
        <v>7</v>
      </c>
      <c r="C176" s="1" t="s">
        <v>8</v>
      </c>
      <c r="D176" s="1" t="s">
        <v>202</v>
      </c>
      <c r="E176" s="1" t="s">
        <v>203</v>
      </c>
      <c r="F176" s="2">
        <v>1</v>
      </c>
      <c r="G176" s="66">
        <v>1</v>
      </c>
      <c r="H176" s="66">
        <v>1</v>
      </c>
      <c r="I176" s="1" t="s">
        <v>611</v>
      </c>
      <c r="J176" s="1" t="s">
        <v>612</v>
      </c>
      <c r="K176" s="1" t="s">
        <v>213</v>
      </c>
      <c r="L176" s="76" t="str">
        <f>IF(M176="","N",STEP!$J$22)</f>
        <v>N</v>
      </c>
      <c r="M176" s="1" t="s">
        <v>11</v>
      </c>
      <c r="N176" s="1" t="s">
        <v>11</v>
      </c>
      <c r="O176" s="1" t="s">
        <v>11</v>
      </c>
      <c r="P176" s="1"/>
      <c r="Q176" s="185">
        <v>19990510</v>
      </c>
      <c r="R176" s="196">
        <v>36290</v>
      </c>
      <c r="S176" s="197">
        <f t="shared" si="223"/>
        <v>280</v>
      </c>
      <c r="T176" s="66">
        <f t="shared" si="224"/>
        <v>24</v>
      </c>
      <c r="U176" s="65" t="s">
        <v>11</v>
      </c>
      <c r="V176" s="70">
        <v>23.941700000000001</v>
      </c>
      <c r="W176" s="74" t="str">
        <f t="shared" si="219"/>
        <v/>
      </c>
      <c r="X176" s="70" t="str" cm="1">
        <f t="array" ref="X176">IF(U176="","",INDEX(STEP!$C:$C,MATCH('Position Control'!M176&amp;'Position Control'!P176,STEP!$A:$A&amp;STEP!$B:$B,0)))</f>
        <v/>
      </c>
      <c r="Y176" s="74" t="str">
        <f t="shared" si="244"/>
        <v/>
      </c>
      <c r="Z176" s="1">
        <v>9102</v>
      </c>
      <c r="AA176" s="112">
        <f>VLOOKUP(Z176,'WRK COMP'!$A$1:$E$17,5,FALSE)</f>
        <v>8.9280000000000002E-3</v>
      </c>
      <c r="AB176" s="76" t="s">
        <v>13</v>
      </c>
      <c r="AC176" s="68">
        <v>0</v>
      </c>
      <c r="AD176" s="209">
        <v>5.77</v>
      </c>
      <c r="AE176" s="68">
        <v>0</v>
      </c>
      <c r="AF176" s="68">
        <v>0</v>
      </c>
      <c r="AG176" s="68">
        <v>0</v>
      </c>
      <c r="AH176" s="68">
        <v>0</v>
      </c>
      <c r="AI176" s="68">
        <v>0</v>
      </c>
      <c r="AJ176" s="10" t="s">
        <v>25</v>
      </c>
      <c r="AK176" s="10" t="s">
        <v>15</v>
      </c>
      <c r="AL176" s="10" t="s">
        <v>16</v>
      </c>
      <c r="AM176" s="78">
        <f>IF(F176&gt;0.79,IF(ROUNDUP(IF(B176="FS",(V176*HRS!$B$9),(V176*HRS!$L$2))*2,-3)&gt;150000,150000,(ROUNDUP(IF(B176="FS",(V176*HRS!$B$9),(V176*HRS!$L$2))*2,-3))),0)</f>
        <v>100000</v>
      </c>
      <c r="AN176" s="188">
        <f t="shared" si="225"/>
        <v>50100</v>
      </c>
      <c r="AO176" s="77">
        <f>IF(L176="N",IF(B176="FS",ROUNDUP($V176*HRS!$B$9*'Position Control'!F176,0),ROUNDUP('Position Control'!$V176*HRS!$L$2*'Position Control'!F176,0)),IF('Position Control'!B176="FS",ROUNDUP(('Position Control'!V176*HRS!$B$9*'Position Control'!W176*'Position Control'!F176)+('Position Control'!X176*HRS!$B$9*'Position Control'!Y176*'Position Control'!F176),0),ROUNDUP(('Position Control'!V176*HRS!$L$2*'Position Control'!W176*'Position Control'!F176)+('Position Control'!X176*HRS!$L$2*'Position Control'!Y176*'Position Control'!F176),0)))*'Position Control'!H176</f>
        <v>49799</v>
      </c>
      <c r="AP176" s="77">
        <f t="shared" si="226"/>
        <v>0</v>
      </c>
      <c r="AQ176" s="77">
        <f t="shared" si="227"/>
        <v>301</v>
      </c>
      <c r="AR176" s="77">
        <f t="shared" si="228"/>
        <v>0</v>
      </c>
      <c r="AS176" s="77">
        <v>0</v>
      </c>
      <c r="AT176" s="79">
        <f t="shared" si="229"/>
        <v>0</v>
      </c>
      <c r="AU176" s="77">
        <f t="shared" si="230"/>
        <v>0</v>
      </c>
      <c r="AV176" s="77">
        <v>0</v>
      </c>
      <c r="AW176" s="77">
        <f t="shared" si="231"/>
        <v>0</v>
      </c>
      <c r="AX176" s="77">
        <f t="shared" si="232"/>
        <v>0</v>
      </c>
      <c r="AY176" s="77">
        <f t="shared" si="233"/>
        <v>0</v>
      </c>
      <c r="AZ176" s="77">
        <f t="shared" si="234"/>
        <v>0</v>
      </c>
      <c r="BA176" s="77">
        <f t="shared" si="235"/>
        <v>0</v>
      </c>
      <c r="BB176" s="77">
        <f t="shared" si="236"/>
        <v>0</v>
      </c>
      <c r="BC176" s="77">
        <f t="shared" si="221"/>
        <v>0</v>
      </c>
      <c r="BD176" s="77">
        <f t="shared" si="245"/>
        <v>1200</v>
      </c>
      <c r="BE176" s="77">
        <v>0</v>
      </c>
      <c r="BF176" s="77">
        <f t="shared" si="237"/>
        <v>120</v>
      </c>
      <c r="BG176" s="77">
        <f>VLOOKUP($AJ176,BENE!$I$2:$N$9,6,FALSE)*'Position Control'!$H176</f>
        <v>414</v>
      </c>
      <c r="BH176" s="77">
        <f>VLOOKUP($AK176,BENE!$A$2:$F$19,6,FALSE)*'Position Control'!$H176</f>
        <v>6142</v>
      </c>
      <c r="BI176" s="77">
        <f>VLOOKUP($AK176,BENE!$A$2:$G$19,7,FALSE)*'Position Control'!$H176</f>
        <v>1000</v>
      </c>
      <c r="BJ176" s="77">
        <f>VLOOKUP($AL176,BENE!$P$2:$S$6,4,FALSE)*'Position Control'!$H176</f>
        <v>240</v>
      </c>
      <c r="BK176" s="77">
        <f>IF($F176&gt;HRS!$H$2,ROUNDUP(((($AN176+$BE176)*$BK$3)/12*9)+(($AN176+$BE176)*HRS!$B$10/12*3),0),0)*$H176</f>
        <v>8447</v>
      </c>
      <c r="BL176" s="80">
        <f t="shared" si="238"/>
        <v>448</v>
      </c>
      <c r="BM176" s="77">
        <f t="shared" si="239"/>
        <v>144</v>
      </c>
      <c r="BN176" s="77">
        <f t="shared" si="240"/>
        <v>727</v>
      </c>
      <c r="BO176" s="77">
        <f t="shared" si="241"/>
        <v>90</v>
      </c>
      <c r="BP176" s="77">
        <f t="shared" si="242"/>
        <v>1750</v>
      </c>
      <c r="BQ176" s="77">
        <v>0</v>
      </c>
      <c r="BR176" s="80">
        <f t="shared" si="243"/>
        <v>70822</v>
      </c>
    </row>
    <row r="177" spans="1:70" outlineLevel="1" x14ac:dyDescent="0.35">
      <c r="A177" s="1" t="s">
        <v>6</v>
      </c>
      <c r="B177" s="1" t="s">
        <v>7</v>
      </c>
      <c r="C177" s="1" t="s">
        <v>8</v>
      </c>
      <c r="D177" s="1" t="s">
        <v>202</v>
      </c>
      <c r="E177" s="1" t="s">
        <v>203</v>
      </c>
      <c r="F177" s="2">
        <v>1</v>
      </c>
      <c r="G177" s="66">
        <v>1</v>
      </c>
      <c r="H177" s="66">
        <v>1</v>
      </c>
      <c r="I177" s="1" t="s">
        <v>611</v>
      </c>
      <c r="J177" s="1" t="s">
        <v>612</v>
      </c>
      <c r="K177" s="1" t="s">
        <v>212</v>
      </c>
      <c r="L177" s="76" t="str">
        <f>IF(M177="","N",STEP!$J$22)</f>
        <v>N</v>
      </c>
      <c r="M177" s="1" t="s">
        <v>11</v>
      </c>
      <c r="N177" s="1" t="s">
        <v>11</v>
      </c>
      <c r="O177" s="1" t="s">
        <v>11</v>
      </c>
      <c r="P177" s="1"/>
      <c r="Q177" s="185">
        <v>19881003</v>
      </c>
      <c r="R177" s="196">
        <v>32419</v>
      </c>
      <c r="S177" s="197">
        <f t="shared" si="223"/>
        <v>407</v>
      </c>
      <c r="T177" s="66">
        <f t="shared" si="224"/>
        <v>34</v>
      </c>
      <c r="U177" s="65" t="s">
        <v>11</v>
      </c>
      <c r="V177" s="70">
        <v>29.3474</v>
      </c>
      <c r="W177" s="74" t="str">
        <f t="shared" si="219"/>
        <v/>
      </c>
      <c r="X177" s="70" t="str" cm="1">
        <f t="array" ref="X177">IF(U177="","",INDEX(STEP!$C:$C,MATCH('Position Control'!M177&amp;'Position Control'!P177,STEP!$A:$A&amp;STEP!$B:$B,0)))</f>
        <v/>
      </c>
      <c r="Y177" s="74" t="str">
        <f t="shared" si="244"/>
        <v/>
      </c>
      <c r="Z177" s="1">
        <v>9102</v>
      </c>
      <c r="AA177" s="112">
        <f>VLOOKUP(Z177,'WRK COMP'!$A$1:$E$17,5,FALSE)</f>
        <v>8.9280000000000002E-3</v>
      </c>
      <c r="AB177" s="76" t="s">
        <v>51</v>
      </c>
      <c r="AC177" s="68">
        <v>0</v>
      </c>
      <c r="AD177" s="209">
        <v>0</v>
      </c>
      <c r="AE177" s="68">
        <v>0</v>
      </c>
      <c r="AF177" s="68">
        <v>0</v>
      </c>
      <c r="AG177" s="68">
        <v>0</v>
      </c>
      <c r="AH177" s="68">
        <v>0</v>
      </c>
      <c r="AI177" s="68">
        <v>0</v>
      </c>
      <c r="AJ177" s="10" t="s">
        <v>61</v>
      </c>
      <c r="AK177" s="10" t="s">
        <v>15</v>
      </c>
      <c r="AL177" s="10" t="s">
        <v>16</v>
      </c>
      <c r="AM177" s="78">
        <f>IF(F177&gt;0.79,IF(ROUNDUP(IF(B177="FS",(V177*HRS!$B$9),(V177*HRS!$L$2))*2,-3)&gt;150000,150000,(ROUNDUP(IF(B177="FS",(V177*HRS!$B$9),(V177*HRS!$L$2))*2,-3))),0)</f>
        <v>123000</v>
      </c>
      <c r="AN177" s="188">
        <f t="shared" si="225"/>
        <v>61043</v>
      </c>
      <c r="AO177" s="77">
        <f>IF(L177="N",IF(B177="FS",ROUNDUP($V177*HRS!$B$9*'Position Control'!F177,0),ROUNDUP('Position Control'!$V177*HRS!$L$2*'Position Control'!F177,0)),IF('Position Control'!B177="FS",ROUNDUP(('Position Control'!V177*HRS!$B$9*'Position Control'!W177*'Position Control'!F177)+('Position Control'!X177*HRS!$B$9*'Position Control'!Y177*'Position Control'!F177),0),ROUNDUP(('Position Control'!V177*HRS!$L$2*'Position Control'!W177*'Position Control'!F177)+('Position Control'!X177*HRS!$L$2*'Position Control'!Y177*'Position Control'!F177),0)))*'Position Control'!H177</f>
        <v>61043</v>
      </c>
      <c r="AP177" s="77">
        <f t="shared" si="226"/>
        <v>0</v>
      </c>
      <c r="AQ177" s="77">
        <f t="shared" si="227"/>
        <v>0</v>
      </c>
      <c r="AR177" s="77">
        <f t="shared" si="228"/>
        <v>0</v>
      </c>
      <c r="AS177" s="77">
        <v>0</v>
      </c>
      <c r="AT177" s="79">
        <f t="shared" si="229"/>
        <v>0</v>
      </c>
      <c r="AU177" s="77">
        <f t="shared" si="230"/>
        <v>0</v>
      </c>
      <c r="AV177" s="77">
        <v>0</v>
      </c>
      <c r="AW177" s="77">
        <f t="shared" si="231"/>
        <v>0</v>
      </c>
      <c r="AX177" s="77">
        <f t="shared" si="232"/>
        <v>0</v>
      </c>
      <c r="AY177" s="77">
        <f t="shared" si="233"/>
        <v>0</v>
      </c>
      <c r="AZ177" s="77">
        <f t="shared" si="234"/>
        <v>0</v>
      </c>
      <c r="BA177" s="77">
        <f t="shared" si="235"/>
        <v>0</v>
      </c>
      <c r="BB177" s="77">
        <f t="shared" si="236"/>
        <v>0</v>
      </c>
      <c r="BC177" s="77">
        <f t="shared" si="221"/>
        <v>0</v>
      </c>
      <c r="BD177" s="77">
        <f t="shared" si="245"/>
        <v>1200</v>
      </c>
      <c r="BE177" s="77">
        <v>0</v>
      </c>
      <c r="BF177" s="77">
        <f t="shared" si="237"/>
        <v>147.60000000000002</v>
      </c>
      <c r="BG177" s="77">
        <f>VLOOKUP($AJ177,BENE!$I$2:$N$9,6,FALSE)*'Position Control'!$H177</f>
        <v>311</v>
      </c>
      <c r="BH177" s="77">
        <f>VLOOKUP($AK177,BENE!$A$2:$F$19,6,FALSE)*'Position Control'!$H177</f>
        <v>6142</v>
      </c>
      <c r="BI177" s="77">
        <f>VLOOKUP($AK177,BENE!$A$2:$G$19,7,FALSE)*'Position Control'!$H177</f>
        <v>1000</v>
      </c>
      <c r="BJ177" s="77">
        <f>VLOOKUP($AL177,BENE!$P$2:$S$6,4,FALSE)*'Position Control'!$H177</f>
        <v>240</v>
      </c>
      <c r="BK177" s="77">
        <f>IF($F177&gt;HRS!$H$2,ROUNDUP(((($AN177+$BE177)*$BK$3)/12*9)+(($AN177+$BE177)*HRS!$B$10/12*3),0),0)*$H177</f>
        <v>10292</v>
      </c>
      <c r="BL177" s="80">
        <f t="shared" si="238"/>
        <v>545</v>
      </c>
      <c r="BM177" s="77">
        <f t="shared" si="239"/>
        <v>144</v>
      </c>
      <c r="BN177" s="77">
        <f t="shared" si="240"/>
        <v>0</v>
      </c>
      <c r="BO177" s="77">
        <f t="shared" si="241"/>
        <v>110</v>
      </c>
      <c r="BP177" s="77">
        <f t="shared" si="242"/>
        <v>2000</v>
      </c>
      <c r="BQ177" s="77">
        <v>0</v>
      </c>
      <c r="BR177" s="80">
        <f t="shared" si="243"/>
        <v>83174.600000000006</v>
      </c>
    </row>
    <row r="178" spans="1:70" outlineLevel="1" x14ac:dyDescent="0.35">
      <c r="A178" s="1" t="s">
        <v>6</v>
      </c>
      <c r="B178" s="1" t="s">
        <v>7</v>
      </c>
      <c r="C178" s="1" t="s">
        <v>8</v>
      </c>
      <c r="D178" s="1" t="s">
        <v>202</v>
      </c>
      <c r="E178" s="1" t="s">
        <v>203</v>
      </c>
      <c r="F178" s="2">
        <v>1</v>
      </c>
      <c r="G178" s="66">
        <v>1</v>
      </c>
      <c r="H178" s="66">
        <v>1</v>
      </c>
      <c r="I178" s="1" t="s">
        <v>611</v>
      </c>
      <c r="J178" s="1" t="s">
        <v>612</v>
      </c>
      <c r="K178" s="1" t="s">
        <v>209</v>
      </c>
      <c r="L178" s="76" t="str">
        <f>IF(M178="","N",STEP!$J$22)</f>
        <v>N</v>
      </c>
      <c r="M178" s="1" t="s">
        <v>11</v>
      </c>
      <c r="N178" s="1" t="s">
        <v>11</v>
      </c>
      <c r="O178" s="1" t="s">
        <v>11</v>
      </c>
      <c r="P178" s="1"/>
      <c r="Q178" s="185">
        <v>20220606</v>
      </c>
      <c r="R178" s="196">
        <v>44718</v>
      </c>
      <c r="S178" s="197">
        <f t="shared" si="223"/>
        <v>3</v>
      </c>
      <c r="T178" s="66">
        <f t="shared" si="224"/>
        <v>1</v>
      </c>
      <c r="U178" s="65" t="s">
        <v>11</v>
      </c>
      <c r="V178" s="70">
        <v>20.673100000000002</v>
      </c>
      <c r="W178" s="74" t="str">
        <f t="shared" si="219"/>
        <v/>
      </c>
      <c r="X178" s="70" t="str" cm="1">
        <f t="array" ref="X178">IF(U178="","",INDEX(STEP!$C:$C,MATCH('Position Control'!M178&amp;'Position Control'!P178,STEP!$A:$A&amp;STEP!$B:$B,0)))</f>
        <v/>
      </c>
      <c r="Y178" s="74" t="str">
        <f t="shared" si="244"/>
        <v/>
      </c>
      <c r="Z178" s="1">
        <v>9102</v>
      </c>
      <c r="AA178" s="112">
        <f>VLOOKUP(Z178,'WRK COMP'!$A$1:$E$17,5,FALSE)</f>
        <v>8.9280000000000002E-3</v>
      </c>
      <c r="AB178" s="76" t="s">
        <v>13</v>
      </c>
      <c r="AC178" s="68">
        <v>0</v>
      </c>
      <c r="AD178" s="209">
        <v>23.08</v>
      </c>
      <c r="AE178" s="68">
        <v>0</v>
      </c>
      <c r="AF178" s="68">
        <v>0</v>
      </c>
      <c r="AG178" s="68">
        <v>0</v>
      </c>
      <c r="AH178" s="68">
        <v>0</v>
      </c>
      <c r="AI178" s="68">
        <v>0</v>
      </c>
      <c r="AJ178" s="10" t="s">
        <v>14</v>
      </c>
      <c r="AK178" s="10" t="s">
        <v>43</v>
      </c>
      <c r="AL178" s="10" t="s">
        <v>49</v>
      </c>
      <c r="AM178" s="78">
        <f>IF(F178&gt;0.79,IF(ROUNDUP(IF(B178="FS",(V178*HRS!$B$9),(V178*HRS!$L$2))*2,-3)&gt;150000,150000,(ROUNDUP(IF(B178="FS",(V178*HRS!$B$9),(V178*HRS!$L$2))*2,-3))),0)</f>
        <v>87000</v>
      </c>
      <c r="AN178" s="188">
        <f t="shared" si="225"/>
        <v>44202</v>
      </c>
      <c r="AO178" s="77">
        <f>IF(L178="N",IF(B178="FS",ROUNDUP($V178*HRS!$B$9*'Position Control'!F178,0),ROUNDUP('Position Control'!$V178*HRS!$L$2*'Position Control'!F178,0)),IF('Position Control'!B178="FS",ROUNDUP(('Position Control'!V178*HRS!$B$9*'Position Control'!W178*'Position Control'!F178)+('Position Control'!X178*HRS!$B$9*'Position Control'!Y178*'Position Control'!F178),0),ROUNDUP(('Position Control'!V178*HRS!$L$2*'Position Control'!W178*'Position Control'!F178)+('Position Control'!X178*HRS!$L$2*'Position Control'!Y178*'Position Control'!F178),0)))*'Position Control'!H178</f>
        <v>43001</v>
      </c>
      <c r="AP178" s="77">
        <f t="shared" si="226"/>
        <v>0</v>
      </c>
      <c r="AQ178" s="77">
        <f t="shared" si="227"/>
        <v>1201</v>
      </c>
      <c r="AR178" s="77">
        <f t="shared" si="228"/>
        <v>0</v>
      </c>
      <c r="AS178" s="77">
        <v>0</v>
      </c>
      <c r="AT178" s="79">
        <f t="shared" si="229"/>
        <v>0</v>
      </c>
      <c r="AU178" s="77">
        <f t="shared" si="230"/>
        <v>0</v>
      </c>
      <c r="AV178" s="77">
        <v>0</v>
      </c>
      <c r="AW178" s="77">
        <f t="shared" si="231"/>
        <v>0</v>
      </c>
      <c r="AX178" s="77">
        <f t="shared" si="232"/>
        <v>0</v>
      </c>
      <c r="AY178" s="77">
        <f t="shared" si="233"/>
        <v>0</v>
      </c>
      <c r="AZ178" s="77">
        <f t="shared" si="234"/>
        <v>0</v>
      </c>
      <c r="BA178" s="77">
        <f t="shared" si="235"/>
        <v>0</v>
      </c>
      <c r="BB178" s="77">
        <f t="shared" si="236"/>
        <v>0</v>
      </c>
      <c r="BC178" s="77">
        <f t="shared" si="221"/>
        <v>0</v>
      </c>
      <c r="BD178" s="77">
        <f t="shared" si="245"/>
        <v>0</v>
      </c>
      <c r="BE178" s="77">
        <v>0</v>
      </c>
      <c r="BF178" s="77">
        <f t="shared" si="237"/>
        <v>104.4</v>
      </c>
      <c r="BG178" s="77">
        <f>VLOOKUP($AJ178,BENE!$I$2:$N$9,6,FALSE)*'Position Control'!$H178</f>
        <v>389</v>
      </c>
      <c r="BH178" s="77">
        <f>VLOOKUP($AK178,BENE!$A$2:$F$19,6,FALSE)*'Position Control'!$H178</f>
        <v>6870</v>
      </c>
      <c r="BI178" s="77">
        <f>VLOOKUP($AK178,BENE!$A$2:$G$19,7,FALSE)*'Position Control'!$H178</f>
        <v>0</v>
      </c>
      <c r="BJ178" s="77">
        <f>VLOOKUP($AL178,BENE!$P$2:$S$6,4,FALSE)*'Position Control'!$H178</f>
        <v>0</v>
      </c>
      <c r="BK178" s="77">
        <f>IF($F178&gt;HRS!$H$2,ROUNDUP(((($AN178+$BE178)*$BK$3)/12*9)+(($AN178+$BE178)*HRS!$B$10/12*3),0),0)*$H178</f>
        <v>7453</v>
      </c>
      <c r="BL178" s="80">
        <f t="shared" si="238"/>
        <v>395</v>
      </c>
      <c r="BM178" s="77">
        <f t="shared" si="239"/>
        <v>144</v>
      </c>
      <c r="BN178" s="77">
        <f t="shared" si="240"/>
        <v>641</v>
      </c>
      <c r="BO178" s="77">
        <f t="shared" si="241"/>
        <v>80</v>
      </c>
      <c r="BP178" s="77">
        <f t="shared" si="242"/>
        <v>0</v>
      </c>
      <c r="BQ178" s="77">
        <v>0</v>
      </c>
      <c r="BR178" s="80">
        <f t="shared" si="243"/>
        <v>60278.400000000001</v>
      </c>
    </row>
    <row r="179" spans="1:70" outlineLevel="1" x14ac:dyDescent="0.35">
      <c r="A179" s="1" t="s">
        <v>6</v>
      </c>
      <c r="B179" s="1" t="s">
        <v>7</v>
      </c>
      <c r="C179" s="1" t="s">
        <v>8</v>
      </c>
      <c r="D179" s="1" t="s">
        <v>202</v>
      </c>
      <c r="E179" s="1" t="s">
        <v>203</v>
      </c>
      <c r="F179" s="2">
        <v>1</v>
      </c>
      <c r="G179" s="66">
        <v>1</v>
      </c>
      <c r="H179" s="66">
        <v>1</v>
      </c>
      <c r="I179" s="1" t="s">
        <v>611</v>
      </c>
      <c r="J179" s="1" t="s">
        <v>612</v>
      </c>
      <c r="K179" s="1" t="s">
        <v>208</v>
      </c>
      <c r="L179" s="76" t="str">
        <f>IF(M179="","N",STEP!$J$22)</f>
        <v>N</v>
      </c>
      <c r="M179" s="1" t="s">
        <v>11</v>
      </c>
      <c r="N179" s="1" t="s">
        <v>11</v>
      </c>
      <c r="O179" s="1" t="s">
        <v>11</v>
      </c>
      <c r="P179" s="1"/>
      <c r="Q179" s="185">
        <v>20131009</v>
      </c>
      <c r="R179" s="196">
        <v>41556</v>
      </c>
      <c r="S179" s="197">
        <f t="shared" si="223"/>
        <v>107</v>
      </c>
      <c r="T179" s="66">
        <f t="shared" si="224"/>
        <v>9</v>
      </c>
      <c r="U179" s="65" t="s">
        <v>11</v>
      </c>
      <c r="V179" s="70">
        <v>19.523099999999999</v>
      </c>
      <c r="W179" s="74" t="str">
        <f t="shared" si="219"/>
        <v/>
      </c>
      <c r="X179" s="70" t="str" cm="1">
        <f t="array" ref="X179">IF(U179="","",INDEX(STEP!$C:$C,MATCH('Position Control'!M179&amp;'Position Control'!P179,STEP!$A:$A&amp;STEP!$B:$B,0)))</f>
        <v/>
      </c>
      <c r="Y179" s="74" t="str">
        <f t="shared" si="244"/>
        <v/>
      </c>
      <c r="Z179" s="1">
        <v>9102</v>
      </c>
      <c r="AA179" s="112">
        <f>VLOOKUP(Z179,'WRK COMP'!$A$1:$E$17,5,FALSE)</f>
        <v>8.9280000000000002E-3</v>
      </c>
      <c r="AB179" s="76" t="s">
        <v>13</v>
      </c>
      <c r="AC179" s="68">
        <v>0</v>
      </c>
      <c r="AD179" s="209">
        <v>5.77</v>
      </c>
      <c r="AE179" s="68">
        <v>0</v>
      </c>
      <c r="AF179" s="68">
        <v>0</v>
      </c>
      <c r="AG179" s="68">
        <v>0</v>
      </c>
      <c r="AH179" s="68">
        <v>0</v>
      </c>
      <c r="AI179" s="68">
        <v>0</v>
      </c>
      <c r="AJ179" s="10" t="s">
        <v>14</v>
      </c>
      <c r="AK179" s="10" t="s">
        <v>15</v>
      </c>
      <c r="AL179" s="10" t="s">
        <v>16</v>
      </c>
      <c r="AM179" s="78">
        <f>IF(F179&gt;0.79,IF(ROUNDUP(IF(B179="FS",(V179*HRS!$B$9),(V179*HRS!$L$2))*2,-3)&gt;150000,150000,(ROUNDUP(IF(B179="FS",(V179*HRS!$B$9),(V179*HRS!$L$2))*2,-3))),0)</f>
        <v>82000</v>
      </c>
      <c r="AN179" s="188">
        <f t="shared" si="225"/>
        <v>40910</v>
      </c>
      <c r="AO179" s="77">
        <f>IF(L179="N",IF(B179="FS",ROUNDUP($V179*HRS!$B$9*'Position Control'!F179,0),ROUNDUP('Position Control'!$V179*HRS!$L$2*'Position Control'!F179,0)),IF('Position Control'!B179="FS",ROUNDUP(('Position Control'!V179*HRS!$B$9*'Position Control'!W179*'Position Control'!F179)+('Position Control'!X179*HRS!$B$9*'Position Control'!Y179*'Position Control'!F179),0),ROUNDUP(('Position Control'!V179*HRS!$L$2*'Position Control'!W179*'Position Control'!F179)+('Position Control'!X179*HRS!$L$2*'Position Control'!Y179*'Position Control'!F179),0)))*'Position Control'!H179</f>
        <v>40609</v>
      </c>
      <c r="AP179" s="77">
        <f t="shared" si="226"/>
        <v>0</v>
      </c>
      <c r="AQ179" s="77">
        <f t="shared" si="227"/>
        <v>301</v>
      </c>
      <c r="AR179" s="77">
        <f t="shared" si="228"/>
        <v>0</v>
      </c>
      <c r="AS179" s="77">
        <v>0</v>
      </c>
      <c r="AT179" s="79">
        <f t="shared" si="229"/>
        <v>0</v>
      </c>
      <c r="AU179" s="77">
        <f t="shared" si="230"/>
        <v>0</v>
      </c>
      <c r="AV179" s="77">
        <v>0</v>
      </c>
      <c r="AW179" s="77">
        <f t="shared" si="231"/>
        <v>0</v>
      </c>
      <c r="AX179" s="77">
        <f t="shared" si="232"/>
        <v>0</v>
      </c>
      <c r="AY179" s="77">
        <f t="shared" si="233"/>
        <v>0</v>
      </c>
      <c r="AZ179" s="77">
        <f t="shared" si="234"/>
        <v>0</v>
      </c>
      <c r="BA179" s="77">
        <f t="shared" si="235"/>
        <v>0</v>
      </c>
      <c r="BB179" s="77">
        <f t="shared" si="236"/>
        <v>0</v>
      </c>
      <c r="BC179" s="77">
        <f t="shared" si="221"/>
        <v>0</v>
      </c>
      <c r="BD179" s="77">
        <f t="shared" si="245"/>
        <v>535</v>
      </c>
      <c r="BE179" s="77">
        <v>0</v>
      </c>
      <c r="BF179" s="77">
        <f t="shared" si="237"/>
        <v>98.4</v>
      </c>
      <c r="BG179" s="77">
        <f>VLOOKUP($AJ179,BENE!$I$2:$N$9,6,FALSE)*'Position Control'!$H179</f>
        <v>389</v>
      </c>
      <c r="BH179" s="77">
        <f>VLOOKUP($AK179,BENE!$A$2:$F$19,6,FALSE)*'Position Control'!$H179</f>
        <v>6142</v>
      </c>
      <c r="BI179" s="77">
        <f>VLOOKUP($AK179,BENE!$A$2:$G$19,7,FALSE)*'Position Control'!$H179</f>
        <v>1000</v>
      </c>
      <c r="BJ179" s="77">
        <f>VLOOKUP($AL179,BENE!$P$2:$S$6,4,FALSE)*'Position Control'!$H179</f>
        <v>240</v>
      </c>
      <c r="BK179" s="77">
        <f>IF($F179&gt;HRS!$H$2,ROUNDUP(((($AN179+$BE179)*$BK$3)/12*9)+(($AN179+$BE179)*HRS!$B$10/12*3),0),0)*$H179</f>
        <v>6898</v>
      </c>
      <c r="BL179" s="80">
        <f t="shared" si="238"/>
        <v>366</v>
      </c>
      <c r="BM179" s="77">
        <f t="shared" si="239"/>
        <v>144</v>
      </c>
      <c r="BN179" s="77">
        <f t="shared" si="240"/>
        <v>594</v>
      </c>
      <c r="BO179" s="77">
        <f t="shared" si="241"/>
        <v>74</v>
      </c>
      <c r="BP179" s="77">
        <f t="shared" si="242"/>
        <v>0</v>
      </c>
      <c r="BQ179" s="77">
        <v>0</v>
      </c>
      <c r="BR179" s="80">
        <f t="shared" si="243"/>
        <v>57390.400000000001</v>
      </c>
    </row>
    <row r="180" spans="1:70" outlineLevel="1" x14ac:dyDescent="0.35">
      <c r="A180" s="1" t="s">
        <v>6</v>
      </c>
      <c r="B180" s="1" t="s">
        <v>7</v>
      </c>
      <c r="C180" s="1" t="s">
        <v>8</v>
      </c>
      <c r="D180" s="1" t="s">
        <v>202</v>
      </c>
      <c r="E180" s="1" t="s">
        <v>203</v>
      </c>
      <c r="F180" s="2">
        <v>1</v>
      </c>
      <c r="G180" s="66">
        <v>1</v>
      </c>
      <c r="H180" s="66">
        <v>1</v>
      </c>
      <c r="I180" s="1" t="s">
        <v>611</v>
      </c>
      <c r="J180" s="1" t="s">
        <v>612</v>
      </c>
      <c r="K180" s="1" t="s">
        <v>207</v>
      </c>
      <c r="L180" s="76" t="str">
        <f>IF(M180="","N",STEP!$J$22)</f>
        <v>N</v>
      </c>
      <c r="M180" s="1" t="s">
        <v>11</v>
      </c>
      <c r="N180" s="1" t="s">
        <v>11</v>
      </c>
      <c r="O180" s="1" t="s">
        <v>11</v>
      </c>
      <c r="P180" s="1"/>
      <c r="Q180" s="185">
        <v>20181031</v>
      </c>
      <c r="R180" s="196">
        <v>43404</v>
      </c>
      <c r="S180" s="197">
        <f t="shared" si="223"/>
        <v>46</v>
      </c>
      <c r="T180" s="66">
        <f t="shared" si="224"/>
        <v>4</v>
      </c>
      <c r="U180" s="65" t="s">
        <v>11</v>
      </c>
      <c r="V180" s="70">
        <v>17.803699999999999</v>
      </c>
      <c r="W180" s="74" t="str">
        <f t="shared" si="219"/>
        <v/>
      </c>
      <c r="X180" s="70" t="str" cm="1">
        <f t="array" ref="X180">IF(U180="","",INDEX(STEP!$C:$C,MATCH('Position Control'!M180&amp;'Position Control'!P180,STEP!$A:$A&amp;STEP!$B:$B,0)))</f>
        <v/>
      </c>
      <c r="Y180" s="74" t="str">
        <f t="shared" si="244"/>
        <v/>
      </c>
      <c r="Z180" s="1">
        <v>9102</v>
      </c>
      <c r="AA180" s="112">
        <f>VLOOKUP(Z180,'WRK COMP'!$A$1:$E$17,5,FALSE)</f>
        <v>8.9280000000000002E-3</v>
      </c>
      <c r="AB180" s="76" t="s">
        <v>13</v>
      </c>
      <c r="AC180" s="68">
        <v>0</v>
      </c>
      <c r="AD180" s="209">
        <v>5.77</v>
      </c>
      <c r="AE180" s="68">
        <v>0</v>
      </c>
      <c r="AF180" s="68">
        <v>0</v>
      </c>
      <c r="AG180" s="68">
        <v>0</v>
      </c>
      <c r="AH180" s="68">
        <v>0</v>
      </c>
      <c r="AI180" s="68">
        <v>0</v>
      </c>
      <c r="AJ180" s="10" t="s">
        <v>14</v>
      </c>
      <c r="AK180" s="10" t="s">
        <v>15</v>
      </c>
      <c r="AL180" s="10" t="s">
        <v>16</v>
      </c>
      <c r="AM180" s="78">
        <f>IF(F180&gt;0.79,IF(ROUNDUP(IF(B180="FS",(V180*HRS!$B$9),(V180*HRS!$L$2))*2,-3)&gt;150000,150000,(ROUNDUP(IF(B180="FS",(V180*HRS!$B$9),(V180*HRS!$L$2))*2,-3))),0)</f>
        <v>75000</v>
      </c>
      <c r="AN180" s="188">
        <f t="shared" si="225"/>
        <v>37333</v>
      </c>
      <c r="AO180" s="77">
        <f>IF(L180="N",IF(B180="FS",ROUNDUP($V180*HRS!$B$9*'Position Control'!F180,0),ROUNDUP('Position Control'!$V180*HRS!$L$2*'Position Control'!F180,0)),IF('Position Control'!B180="FS",ROUNDUP(('Position Control'!V180*HRS!$B$9*'Position Control'!W180*'Position Control'!F180)+('Position Control'!X180*HRS!$B$9*'Position Control'!Y180*'Position Control'!F180),0),ROUNDUP(('Position Control'!V180*HRS!$L$2*'Position Control'!W180*'Position Control'!F180)+('Position Control'!X180*HRS!$L$2*'Position Control'!Y180*'Position Control'!F180),0)))*'Position Control'!H180</f>
        <v>37032</v>
      </c>
      <c r="AP180" s="77">
        <f t="shared" si="226"/>
        <v>0</v>
      </c>
      <c r="AQ180" s="77">
        <f t="shared" si="227"/>
        <v>301</v>
      </c>
      <c r="AR180" s="77">
        <f t="shared" si="228"/>
        <v>0</v>
      </c>
      <c r="AS180" s="77">
        <v>0</v>
      </c>
      <c r="AT180" s="79">
        <f t="shared" si="229"/>
        <v>0</v>
      </c>
      <c r="AU180" s="77">
        <f t="shared" si="230"/>
        <v>0</v>
      </c>
      <c r="AV180" s="77">
        <v>0</v>
      </c>
      <c r="AW180" s="77">
        <f t="shared" si="231"/>
        <v>0</v>
      </c>
      <c r="AX180" s="77">
        <f t="shared" si="232"/>
        <v>0</v>
      </c>
      <c r="AY180" s="77">
        <f t="shared" si="233"/>
        <v>0</v>
      </c>
      <c r="AZ180" s="77">
        <f t="shared" si="234"/>
        <v>0</v>
      </c>
      <c r="BA180" s="77">
        <f t="shared" si="235"/>
        <v>0</v>
      </c>
      <c r="BB180" s="77">
        <f t="shared" si="236"/>
        <v>0</v>
      </c>
      <c r="BC180" s="77">
        <f t="shared" si="221"/>
        <v>0</v>
      </c>
      <c r="BD180" s="77">
        <f t="shared" si="245"/>
        <v>230</v>
      </c>
      <c r="BE180" s="77">
        <v>0</v>
      </c>
      <c r="BF180" s="77">
        <f t="shared" si="237"/>
        <v>90</v>
      </c>
      <c r="BG180" s="77">
        <f>VLOOKUP($AJ180,BENE!$I$2:$N$9,6,FALSE)*'Position Control'!$H180</f>
        <v>389</v>
      </c>
      <c r="BH180" s="77">
        <f>VLOOKUP($AK180,BENE!$A$2:$F$19,6,FALSE)*'Position Control'!$H180</f>
        <v>6142</v>
      </c>
      <c r="BI180" s="77">
        <f>VLOOKUP($AK180,BENE!$A$2:$G$19,7,FALSE)*'Position Control'!$H180</f>
        <v>1000</v>
      </c>
      <c r="BJ180" s="77">
        <f>VLOOKUP($AL180,BENE!$P$2:$S$6,4,FALSE)*'Position Control'!$H180</f>
        <v>240</v>
      </c>
      <c r="BK180" s="77">
        <f>IF($F180&gt;HRS!$H$2,ROUNDUP(((($AN180+$BE180)*$BK$3)/12*9)+(($AN180+$BE180)*HRS!$B$10/12*3),0),0)*$H180</f>
        <v>6295</v>
      </c>
      <c r="BL180" s="80">
        <f t="shared" si="238"/>
        <v>334</v>
      </c>
      <c r="BM180" s="77">
        <f t="shared" si="239"/>
        <v>144</v>
      </c>
      <c r="BN180" s="77">
        <f t="shared" si="240"/>
        <v>542</v>
      </c>
      <c r="BO180" s="77">
        <f t="shared" si="241"/>
        <v>67</v>
      </c>
      <c r="BP180" s="77">
        <f t="shared" si="242"/>
        <v>0</v>
      </c>
      <c r="BQ180" s="77">
        <v>0</v>
      </c>
      <c r="BR180" s="80">
        <f t="shared" si="243"/>
        <v>52806</v>
      </c>
    </row>
    <row r="181" spans="1:70" outlineLevel="1" x14ac:dyDescent="0.35">
      <c r="A181" s="1" t="s">
        <v>6</v>
      </c>
      <c r="B181" s="1" t="s">
        <v>7</v>
      </c>
      <c r="C181" s="1" t="s">
        <v>8</v>
      </c>
      <c r="D181" s="1" t="s">
        <v>202</v>
      </c>
      <c r="E181" s="1" t="s">
        <v>203</v>
      </c>
      <c r="F181" s="2">
        <v>1</v>
      </c>
      <c r="G181" s="66">
        <v>1</v>
      </c>
      <c r="H181" s="66">
        <v>1</v>
      </c>
      <c r="I181" s="1" t="s">
        <v>611</v>
      </c>
      <c r="J181" s="1" t="s">
        <v>612</v>
      </c>
      <c r="K181" s="1" t="s">
        <v>205</v>
      </c>
      <c r="L181" s="76" t="str">
        <f>IF(M181="","N",STEP!$J$22)</f>
        <v>N</v>
      </c>
      <c r="M181" s="1" t="s">
        <v>11</v>
      </c>
      <c r="N181" s="1" t="s">
        <v>11</v>
      </c>
      <c r="O181" s="1" t="s">
        <v>11</v>
      </c>
      <c r="P181" s="1"/>
      <c r="Q181" s="185">
        <v>20000202</v>
      </c>
      <c r="R181" s="196">
        <v>36558</v>
      </c>
      <c r="S181" s="197">
        <f t="shared" si="223"/>
        <v>271</v>
      </c>
      <c r="T181" s="66">
        <f t="shared" si="224"/>
        <v>23</v>
      </c>
      <c r="U181" s="65" t="s">
        <v>11</v>
      </c>
      <c r="V181" s="70">
        <v>22.825900000000001</v>
      </c>
      <c r="W181" s="74" t="str">
        <f t="shared" si="219"/>
        <v/>
      </c>
      <c r="X181" s="70" t="str" cm="1">
        <f t="array" ref="X181">IF(U181="","",INDEX(STEP!$C:$C,MATCH('Position Control'!M181&amp;'Position Control'!P181,STEP!$A:$A&amp;STEP!$B:$B,0)))</f>
        <v/>
      </c>
      <c r="Y181" s="74" t="str">
        <f t="shared" si="244"/>
        <v/>
      </c>
      <c r="Z181" s="1">
        <v>9102</v>
      </c>
      <c r="AA181" s="112">
        <f>VLOOKUP(Z181,'WRK COMP'!$A$1:$E$17,5,FALSE)</f>
        <v>8.9280000000000002E-3</v>
      </c>
      <c r="AB181" s="76" t="s">
        <v>13</v>
      </c>
      <c r="AC181" s="68">
        <v>0</v>
      </c>
      <c r="AD181" s="209">
        <v>23.08</v>
      </c>
      <c r="AE181" s="68">
        <v>0</v>
      </c>
      <c r="AF181" s="68">
        <v>0</v>
      </c>
      <c r="AG181" s="68">
        <v>0</v>
      </c>
      <c r="AH181" s="68">
        <v>0</v>
      </c>
      <c r="AI181" s="68">
        <v>0</v>
      </c>
      <c r="AJ181" s="10" t="s">
        <v>41</v>
      </c>
      <c r="AK181" s="10" t="s">
        <v>50</v>
      </c>
      <c r="AL181" s="10" t="s">
        <v>36</v>
      </c>
      <c r="AM181" s="78">
        <f>IF(F181&gt;0.79,IF(ROUNDUP(IF(B181="FS",(V181*HRS!$B$9),(V181*HRS!$L$2))*2,-3)&gt;150000,150000,(ROUNDUP(IF(B181="FS",(V181*HRS!$B$9),(V181*HRS!$L$2))*2,-3))),0)</f>
        <v>95000</v>
      </c>
      <c r="AN181" s="188">
        <f t="shared" si="225"/>
        <v>48679</v>
      </c>
      <c r="AO181" s="77">
        <f>IF(L181="N",IF(B181="FS",ROUNDUP($V181*HRS!$B$9*'Position Control'!F181,0),ROUNDUP('Position Control'!$V181*HRS!$L$2*'Position Control'!F181,0)),IF('Position Control'!B181="FS",ROUNDUP(('Position Control'!V181*HRS!$B$9*'Position Control'!W181*'Position Control'!F181)+('Position Control'!X181*HRS!$B$9*'Position Control'!Y181*'Position Control'!F181),0),ROUNDUP(('Position Control'!V181*HRS!$L$2*'Position Control'!W181*'Position Control'!F181)+('Position Control'!X181*HRS!$L$2*'Position Control'!Y181*'Position Control'!F181),0)))*'Position Control'!H181</f>
        <v>47478</v>
      </c>
      <c r="AP181" s="77">
        <f t="shared" si="226"/>
        <v>0</v>
      </c>
      <c r="AQ181" s="77">
        <f t="shared" si="227"/>
        <v>1201</v>
      </c>
      <c r="AR181" s="77">
        <f t="shared" si="228"/>
        <v>0</v>
      </c>
      <c r="AS181" s="77">
        <v>0</v>
      </c>
      <c r="AT181" s="79">
        <f t="shared" si="229"/>
        <v>0</v>
      </c>
      <c r="AU181" s="77">
        <f t="shared" si="230"/>
        <v>0</v>
      </c>
      <c r="AV181" s="77">
        <v>0</v>
      </c>
      <c r="AW181" s="77">
        <f t="shared" si="231"/>
        <v>0</v>
      </c>
      <c r="AX181" s="77">
        <f t="shared" si="232"/>
        <v>0</v>
      </c>
      <c r="AY181" s="77">
        <f t="shared" si="233"/>
        <v>0</v>
      </c>
      <c r="AZ181" s="77">
        <f t="shared" si="234"/>
        <v>0</v>
      </c>
      <c r="BA181" s="77">
        <f t="shared" si="235"/>
        <v>0</v>
      </c>
      <c r="BB181" s="77">
        <f t="shared" si="236"/>
        <v>0</v>
      </c>
      <c r="BC181" s="77">
        <f t="shared" si="221"/>
        <v>0</v>
      </c>
      <c r="BD181" s="77">
        <f t="shared" si="245"/>
        <v>1200</v>
      </c>
      <c r="BE181" s="77">
        <v>0</v>
      </c>
      <c r="BF181" s="77">
        <f t="shared" si="237"/>
        <v>114</v>
      </c>
      <c r="BG181" s="77">
        <f>VLOOKUP($AJ181,BENE!$I$2:$N$9,6,FALSE)*'Position Control'!$H181</f>
        <v>214</v>
      </c>
      <c r="BH181" s="77">
        <f>VLOOKUP($AK181,BENE!$A$2:$F$19,6,FALSE)*'Position Control'!$H181</f>
        <v>11047</v>
      </c>
      <c r="BI181" s="77">
        <f>VLOOKUP($AK181,BENE!$A$2:$G$19,7,FALSE)*'Position Control'!$H181</f>
        <v>1500</v>
      </c>
      <c r="BJ181" s="77">
        <f>VLOOKUP($AL181,BENE!$P$2:$S$6,4,FALSE)*'Position Control'!$H181</f>
        <v>312</v>
      </c>
      <c r="BK181" s="77">
        <f>IF($F181&gt;HRS!$H$2,ROUNDUP(((($AN181+$BE181)*$BK$3)/12*9)+(($AN181+$BE181)*HRS!$B$10/12*3),0),0)*$H181</f>
        <v>8208</v>
      </c>
      <c r="BL181" s="80">
        <f t="shared" si="238"/>
        <v>435</v>
      </c>
      <c r="BM181" s="77">
        <f t="shared" si="239"/>
        <v>144</v>
      </c>
      <c r="BN181" s="77">
        <f t="shared" si="240"/>
        <v>706</v>
      </c>
      <c r="BO181" s="77">
        <f t="shared" si="241"/>
        <v>88</v>
      </c>
      <c r="BP181" s="77">
        <f t="shared" si="242"/>
        <v>1750</v>
      </c>
      <c r="BQ181" s="77">
        <v>0</v>
      </c>
      <c r="BR181" s="80">
        <f t="shared" si="243"/>
        <v>74397</v>
      </c>
    </row>
    <row r="182" spans="1:70" outlineLevel="1" x14ac:dyDescent="0.35">
      <c r="A182" s="1" t="s">
        <v>6</v>
      </c>
      <c r="B182" s="1" t="s">
        <v>7</v>
      </c>
      <c r="C182" s="1" t="s">
        <v>8</v>
      </c>
      <c r="D182" s="1" t="s">
        <v>202</v>
      </c>
      <c r="E182" s="1" t="s">
        <v>203</v>
      </c>
      <c r="F182" s="2">
        <v>1</v>
      </c>
      <c r="G182" s="66">
        <v>1</v>
      </c>
      <c r="H182" s="66">
        <v>1</v>
      </c>
      <c r="I182" s="1" t="s">
        <v>611</v>
      </c>
      <c r="J182" s="1" t="s">
        <v>612</v>
      </c>
      <c r="K182" s="1" t="s">
        <v>211</v>
      </c>
      <c r="L182" s="76" t="str">
        <f>IF(M182="","N",STEP!$J$22)</f>
        <v>N</v>
      </c>
      <c r="M182" s="1" t="s">
        <v>11</v>
      </c>
      <c r="N182" s="1" t="s">
        <v>11</v>
      </c>
      <c r="O182" s="1" t="s">
        <v>11</v>
      </c>
      <c r="P182" s="1"/>
      <c r="Q182" s="185">
        <v>20061012</v>
      </c>
      <c r="R182" s="196">
        <v>39002</v>
      </c>
      <c r="S182" s="197">
        <f t="shared" si="223"/>
        <v>191</v>
      </c>
      <c r="T182" s="66">
        <f t="shared" si="224"/>
        <v>16</v>
      </c>
      <c r="U182" s="65" t="s">
        <v>11</v>
      </c>
      <c r="V182" s="70">
        <v>21.0685</v>
      </c>
      <c r="W182" s="74" t="str">
        <f t="shared" si="219"/>
        <v/>
      </c>
      <c r="X182" s="70" t="str" cm="1">
        <f t="array" ref="X182">IF(U182="","",INDEX(STEP!$C:$C,MATCH('Position Control'!M182&amp;'Position Control'!P182,STEP!$A:$A&amp;STEP!$B:$B,0)))</f>
        <v/>
      </c>
      <c r="Y182" s="74" t="str">
        <f t="shared" si="244"/>
        <v/>
      </c>
      <c r="Z182" s="1">
        <v>9102</v>
      </c>
      <c r="AA182" s="112">
        <f>VLOOKUP(Z182,'WRK COMP'!$A$1:$E$17,5,FALSE)</f>
        <v>8.9280000000000002E-3</v>
      </c>
      <c r="AB182" s="76" t="s">
        <v>13</v>
      </c>
      <c r="AC182" s="68">
        <v>0</v>
      </c>
      <c r="AD182" s="209">
        <v>23.08</v>
      </c>
      <c r="AE182" s="68">
        <v>0</v>
      </c>
      <c r="AF182" s="68">
        <v>0</v>
      </c>
      <c r="AG182" s="68">
        <v>0</v>
      </c>
      <c r="AH182" s="68">
        <v>0</v>
      </c>
      <c r="AI182" s="68">
        <v>0</v>
      </c>
      <c r="AJ182" s="10" t="s">
        <v>49</v>
      </c>
      <c r="AK182" s="10" t="s">
        <v>49</v>
      </c>
      <c r="AL182" s="10" t="s">
        <v>49</v>
      </c>
      <c r="AM182" s="78">
        <f>IF(F182&gt;0.79,IF(ROUNDUP(IF(B182="FS",(V182*HRS!$B$9),(V182*HRS!$L$2))*2,-3)&gt;150000,150000,(ROUNDUP(IF(B182="FS",(V182*HRS!$B$9),(V182*HRS!$L$2))*2,-3))),0)</f>
        <v>88000</v>
      </c>
      <c r="AN182" s="188">
        <f t="shared" si="225"/>
        <v>45024</v>
      </c>
      <c r="AO182" s="77">
        <f>IF(L182="N",IF(B182="FS",ROUNDUP($V182*HRS!$B$9*'Position Control'!F182,0),ROUNDUP('Position Control'!$V182*HRS!$L$2*'Position Control'!F182,0)),IF('Position Control'!B182="FS",ROUNDUP(('Position Control'!V182*HRS!$B$9*'Position Control'!W182*'Position Control'!F182)+('Position Control'!X182*HRS!$B$9*'Position Control'!Y182*'Position Control'!F182),0),ROUNDUP(('Position Control'!V182*HRS!$L$2*'Position Control'!W182*'Position Control'!F182)+('Position Control'!X182*HRS!$L$2*'Position Control'!Y182*'Position Control'!F182),0)))*'Position Control'!H182</f>
        <v>43823</v>
      </c>
      <c r="AP182" s="77">
        <f t="shared" si="226"/>
        <v>0</v>
      </c>
      <c r="AQ182" s="77">
        <f t="shared" si="227"/>
        <v>1201</v>
      </c>
      <c r="AR182" s="77">
        <f t="shared" si="228"/>
        <v>0</v>
      </c>
      <c r="AS182" s="77">
        <v>0</v>
      </c>
      <c r="AT182" s="79">
        <f t="shared" si="229"/>
        <v>0</v>
      </c>
      <c r="AU182" s="77">
        <f t="shared" si="230"/>
        <v>0</v>
      </c>
      <c r="AV182" s="77">
        <v>0</v>
      </c>
      <c r="AW182" s="77">
        <f t="shared" si="231"/>
        <v>0</v>
      </c>
      <c r="AX182" s="77">
        <f t="shared" si="232"/>
        <v>0</v>
      </c>
      <c r="AY182" s="77">
        <f t="shared" si="233"/>
        <v>0</v>
      </c>
      <c r="AZ182" s="77">
        <f t="shared" si="234"/>
        <v>0</v>
      </c>
      <c r="BA182" s="77">
        <f t="shared" si="235"/>
        <v>0</v>
      </c>
      <c r="BB182" s="77">
        <f t="shared" si="236"/>
        <v>0</v>
      </c>
      <c r="BC182" s="77">
        <f t="shared" si="221"/>
        <v>0</v>
      </c>
      <c r="BD182" s="77">
        <f>IF($S182&gt;=12,IF(($S182*5)&gt;1200,1200,$S182*5),0)*$H182</f>
        <v>955</v>
      </c>
      <c r="BE182" s="77">
        <v>0</v>
      </c>
      <c r="BF182" s="77">
        <f t="shared" si="237"/>
        <v>105.60000000000001</v>
      </c>
      <c r="BG182" s="77">
        <f>VLOOKUP($AJ182,BENE!$I$2:$N$9,6,FALSE)*'Position Control'!$H182</f>
        <v>0</v>
      </c>
      <c r="BH182" s="77">
        <f>VLOOKUP($AK182,BENE!$A$2:$F$19,6,FALSE)*'Position Control'!$H182</f>
        <v>0</v>
      </c>
      <c r="BI182" s="77">
        <f>VLOOKUP($AK182,BENE!$A$2:$G$19,7,FALSE)*'Position Control'!$H182</f>
        <v>0</v>
      </c>
      <c r="BJ182" s="77">
        <f>VLOOKUP($AL182,BENE!$P$2:$S$6,4,FALSE)*'Position Control'!$H182</f>
        <v>0</v>
      </c>
      <c r="BK182" s="77">
        <f>IF($F182&gt;HRS!$H$2,ROUNDUP(((($AN182+$BE182)*$BK$3)/12*9)+(($AN182+$BE182)*HRS!$B$10/12*3),0),0)*$H182</f>
        <v>7592</v>
      </c>
      <c r="BL182" s="80">
        <f t="shared" si="238"/>
        <v>402</v>
      </c>
      <c r="BM182" s="77">
        <f t="shared" si="239"/>
        <v>144</v>
      </c>
      <c r="BN182" s="77">
        <f t="shared" si="240"/>
        <v>653</v>
      </c>
      <c r="BO182" s="77">
        <f t="shared" si="241"/>
        <v>81</v>
      </c>
      <c r="BP182" s="77">
        <f t="shared" si="242"/>
        <v>1500</v>
      </c>
      <c r="BQ182" s="77">
        <v>0</v>
      </c>
      <c r="BR182" s="80">
        <f t="shared" si="243"/>
        <v>56456.6</v>
      </c>
    </row>
    <row r="183" spans="1:70" outlineLevel="1" x14ac:dyDescent="0.35">
      <c r="A183" s="1" t="s">
        <v>6</v>
      </c>
      <c r="B183" s="1" t="s">
        <v>7</v>
      </c>
      <c r="C183" s="1" t="s">
        <v>8</v>
      </c>
      <c r="D183" s="1" t="s">
        <v>202</v>
      </c>
      <c r="E183" s="1" t="s">
        <v>203</v>
      </c>
      <c r="F183" s="2">
        <v>1</v>
      </c>
      <c r="G183" s="66">
        <v>1</v>
      </c>
      <c r="H183" s="66">
        <v>1</v>
      </c>
      <c r="I183" s="1" t="s">
        <v>611</v>
      </c>
      <c r="J183" s="1" t="s">
        <v>612</v>
      </c>
      <c r="K183" s="1" t="s">
        <v>214</v>
      </c>
      <c r="L183" s="76" t="str">
        <f>IF(M183="","N",STEP!$J$22)</f>
        <v>N</v>
      </c>
      <c r="M183" s="1" t="s">
        <v>11</v>
      </c>
      <c r="N183" s="1" t="s">
        <v>11</v>
      </c>
      <c r="O183" s="1" t="s">
        <v>11</v>
      </c>
      <c r="P183" s="1"/>
      <c r="Q183" s="185">
        <v>20031201</v>
      </c>
      <c r="R183" s="196">
        <v>37956</v>
      </c>
      <c r="S183" s="197">
        <f t="shared" si="223"/>
        <v>225</v>
      </c>
      <c r="T183" s="66">
        <f t="shared" si="224"/>
        <v>19</v>
      </c>
      <c r="U183" s="65" t="s">
        <v>11</v>
      </c>
      <c r="V183" s="70">
        <v>22.278199999999998</v>
      </c>
      <c r="W183" s="74" t="str">
        <f t="shared" si="219"/>
        <v/>
      </c>
      <c r="X183" s="70" t="str" cm="1">
        <f t="array" ref="X183">IF(U183="","",INDEX(STEP!$C:$C,MATCH('Position Control'!M183&amp;'Position Control'!P183,STEP!$A:$A&amp;STEP!$B:$B,0)))</f>
        <v/>
      </c>
      <c r="Y183" s="74" t="str">
        <f t="shared" si="244"/>
        <v/>
      </c>
      <c r="Z183" s="1">
        <v>9102</v>
      </c>
      <c r="AA183" s="112">
        <f>VLOOKUP(Z183,'WRK COMP'!$A$1:$E$17,5,FALSE)</f>
        <v>8.9280000000000002E-3</v>
      </c>
      <c r="AB183" s="76" t="s">
        <v>13</v>
      </c>
      <c r="AC183" s="68">
        <v>0</v>
      </c>
      <c r="AD183" s="209">
        <v>0</v>
      </c>
      <c r="AE183" s="68">
        <v>0</v>
      </c>
      <c r="AF183" s="68">
        <v>0</v>
      </c>
      <c r="AG183" s="68">
        <v>0</v>
      </c>
      <c r="AH183" s="68">
        <v>0</v>
      </c>
      <c r="AI183" s="68">
        <v>0</v>
      </c>
      <c r="AJ183" s="10" t="s">
        <v>18</v>
      </c>
      <c r="AK183" s="10" t="s">
        <v>15</v>
      </c>
      <c r="AL183" s="10" t="s">
        <v>49</v>
      </c>
      <c r="AM183" s="78">
        <f>IF(F183&gt;0.79,IF(ROUNDUP(IF(B183="FS",(V183*HRS!$B$9),(V183*HRS!$L$2))*2,-3)&gt;150000,150000,(ROUNDUP(IF(B183="FS",(V183*HRS!$B$9),(V183*HRS!$L$2))*2,-3))),0)</f>
        <v>93000</v>
      </c>
      <c r="AN183" s="188">
        <f t="shared" si="225"/>
        <v>46339</v>
      </c>
      <c r="AO183" s="77">
        <f>IF(L183="N",IF(B183="FS",ROUNDUP($V183*HRS!$B$9*'Position Control'!F183,0),ROUNDUP('Position Control'!$V183*HRS!$L$2*'Position Control'!F183,0)),IF('Position Control'!B183="FS",ROUNDUP(('Position Control'!V183*HRS!$B$9*'Position Control'!W183*'Position Control'!F183)+('Position Control'!X183*HRS!$B$9*'Position Control'!Y183*'Position Control'!F183),0),ROUNDUP(('Position Control'!V183*HRS!$L$2*'Position Control'!W183*'Position Control'!F183)+('Position Control'!X183*HRS!$L$2*'Position Control'!Y183*'Position Control'!F183),0)))*'Position Control'!H183</f>
        <v>46339</v>
      </c>
      <c r="AP183" s="77">
        <f t="shared" si="226"/>
        <v>0</v>
      </c>
      <c r="AQ183" s="77">
        <f t="shared" si="227"/>
        <v>0</v>
      </c>
      <c r="AR183" s="77">
        <f t="shared" si="228"/>
        <v>0</v>
      </c>
      <c r="AS183" s="77">
        <v>0</v>
      </c>
      <c r="AT183" s="79">
        <f t="shared" si="229"/>
        <v>0</v>
      </c>
      <c r="AU183" s="77">
        <f t="shared" si="230"/>
        <v>0</v>
      </c>
      <c r="AV183" s="77">
        <v>0</v>
      </c>
      <c r="AW183" s="77">
        <f t="shared" si="231"/>
        <v>0</v>
      </c>
      <c r="AX183" s="77">
        <f t="shared" si="232"/>
        <v>0</v>
      </c>
      <c r="AY183" s="77">
        <f t="shared" si="233"/>
        <v>0</v>
      </c>
      <c r="AZ183" s="77">
        <f t="shared" si="234"/>
        <v>0</v>
      </c>
      <c r="BA183" s="77">
        <f t="shared" si="235"/>
        <v>0</v>
      </c>
      <c r="BB183" s="77">
        <f t="shared" si="236"/>
        <v>0</v>
      </c>
      <c r="BC183" s="77">
        <f t="shared" si="221"/>
        <v>0</v>
      </c>
      <c r="BD183" s="77">
        <f>IF($S183&gt;=12,IF(($S183*5)&gt;1200,1200,$S183*5),0)*$H183</f>
        <v>1125</v>
      </c>
      <c r="BE183" s="77">
        <v>0</v>
      </c>
      <c r="BF183" s="77">
        <f t="shared" si="237"/>
        <v>111.60000000000001</v>
      </c>
      <c r="BG183" s="77">
        <f>VLOOKUP($AJ183,BENE!$I$2:$N$9,6,FALSE)*'Position Control'!$H183</f>
        <v>760</v>
      </c>
      <c r="BH183" s="77">
        <f>VLOOKUP($AK183,BENE!$A$2:$F$19,6,FALSE)*'Position Control'!$H183</f>
        <v>6142</v>
      </c>
      <c r="BI183" s="77">
        <f>VLOOKUP($AK183,BENE!$A$2:$G$19,7,FALSE)*'Position Control'!$H183</f>
        <v>1000</v>
      </c>
      <c r="BJ183" s="77">
        <f>VLOOKUP($AL183,BENE!$P$2:$S$6,4,FALSE)*'Position Control'!$H183</f>
        <v>0</v>
      </c>
      <c r="BK183" s="77">
        <f>IF($F183&gt;HRS!$H$2,ROUNDUP(((($AN183+$BE183)*$BK$3)/12*9)+(($AN183+$BE183)*HRS!$B$10/12*3),0),0)*$H183</f>
        <v>7813</v>
      </c>
      <c r="BL183" s="80">
        <f t="shared" si="238"/>
        <v>414</v>
      </c>
      <c r="BM183" s="77">
        <f t="shared" si="239"/>
        <v>144</v>
      </c>
      <c r="BN183" s="77">
        <f t="shared" si="240"/>
        <v>672</v>
      </c>
      <c r="BO183" s="77">
        <f t="shared" si="241"/>
        <v>83</v>
      </c>
      <c r="BP183" s="77">
        <f t="shared" si="242"/>
        <v>1500</v>
      </c>
      <c r="BQ183" s="77">
        <v>0</v>
      </c>
      <c r="BR183" s="80">
        <f t="shared" si="243"/>
        <v>66103.600000000006</v>
      </c>
    </row>
    <row r="184" spans="1:70" outlineLevel="1" x14ac:dyDescent="0.35">
      <c r="A184" s="1" t="s">
        <v>6</v>
      </c>
      <c r="B184" s="1" t="s">
        <v>7</v>
      </c>
      <c r="C184" s="1" t="s">
        <v>8</v>
      </c>
      <c r="D184" s="1" t="s">
        <v>202</v>
      </c>
      <c r="E184" s="1" t="s">
        <v>203</v>
      </c>
      <c r="F184" s="2">
        <v>1</v>
      </c>
      <c r="G184" s="66">
        <v>1</v>
      </c>
      <c r="H184" s="66">
        <v>1</v>
      </c>
      <c r="I184" s="1" t="s">
        <v>611</v>
      </c>
      <c r="J184" s="1" t="s">
        <v>612</v>
      </c>
      <c r="K184" s="1" t="s">
        <v>215</v>
      </c>
      <c r="L184" s="76" t="str">
        <f>IF(M184="","N",STEP!$J$22)</f>
        <v>N</v>
      </c>
      <c r="M184" s="1" t="s">
        <v>11</v>
      </c>
      <c r="N184" s="1" t="s">
        <v>11</v>
      </c>
      <c r="O184" s="1" t="s">
        <v>11</v>
      </c>
      <c r="P184" s="1"/>
      <c r="Q184" s="185">
        <v>20061113</v>
      </c>
      <c r="R184" s="196">
        <v>39034</v>
      </c>
      <c r="S184" s="197">
        <f t="shared" si="223"/>
        <v>190</v>
      </c>
      <c r="T184" s="66">
        <f t="shared" si="224"/>
        <v>16</v>
      </c>
      <c r="U184" s="65" t="s">
        <v>11</v>
      </c>
      <c r="V184" s="70">
        <v>21.0685</v>
      </c>
      <c r="W184" s="74" t="str">
        <f t="shared" si="219"/>
        <v/>
      </c>
      <c r="X184" s="70" t="str" cm="1">
        <f t="array" ref="X184">IF(U184="","",INDEX(STEP!$C:$C,MATCH('Position Control'!M184&amp;'Position Control'!P184,STEP!$A:$A&amp;STEP!$B:$B,0)))</f>
        <v/>
      </c>
      <c r="Y184" s="74" t="str">
        <f t="shared" si="244"/>
        <v/>
      </c>
      <c r="Z184" s="1">
        <v>9102</v>
      </c>
      <c r="AA184" s="112">
        <f>VLOOKUP(Z184,'WRK COMP'!$A$1:$E$17,5,FALSE)</f>
        <v>8.9280000000000002E-3</v>
      </c>
      <c r="AB184" s="76" t="s">
        <v>13</v>
      </c>
      <c r="AC184" s="68">
        <v>0</v>
      </c>
      <c r="AD184" s="209">
        <v>0</v>
      </c>
      <c r="AE184" s="68">
        <v>0</v>
      </c>
      <c r="AF184" s="68">
        <v>0</v>
      </c>
      <c r="AG184" s="68">
        <v>0</v>
      </c>
      <c r="AH184" s="68">
        <v>0</v>
      </c>
      <c r="AI184" s="68">
        <v>0</v>
      </c>
      <c r="AJ184" s="10" t="s">
        <v>18</v>
      </c>
      <c r="AK184" s="10" t="s">
        <v>29</v>
      </c>
      <c r="AL184" s="10" t="s">
        <v>58</v>
      </c>
      <c r="AM184" s="78">
        <f>IF(F184&gt;0.79,IF(ROUNDUP(IF(B184="FS",(V184*HRS!$B$9),(V184*HRS!$L$2))*2,-3)&gt;150000,150000,(ROUNDUP(IF(B184="FS",(V184*HRS!$B$9),(V184*HRS!$L$2))*2,-3))),0)</f>
        <v>88000</v>
      </c>
      <c r="AN184" s="188">
        <f t="shared" si="225"/>
        <v>43823</v>
      </c>
      <c r="AO184" s="77">
        <f>IF(L184="N",IF(B184="FS",ROUNDUP($V184*HRS!$B$9*'Position Control'!F184,0),ROUNDUP('Position Control'!$V184*HRS!$L$2*'Position Control'!F184,0)),IF('Position Control'!B184="FS",ROUNDUP(('Position Control'!V184*HRS!$B$9*'Position Control'!W184*'Position Control'!F184)+('Position Control'!X184*HRS!$B$9*'Position Control'!Y184*'Position Control'!F184),0),ROUNDUP(('Position Control'!V184*HRS!$L$2*'Position Control'!W184*'Position Control'!F184)+('Position Control'!X184*HRS!$L$2*'Position Control'!Y184*'Position Control'!F184),0)))*'Position Control'!H184</f>
        <v>43823</v>
      </c>
      <c r="AP184" s="77">
        <f t="shared" si="226"/>
        <v>0</v>
      </c>
      <c r="AQ184" s="77">
        <f t="shared" si="227"/>
        <v>0</v>
      </c>
      <c r="AR184" s="77">
        <f t="shared" si="228"/>
        <v>0</v>
      </c>
      <c r="AS184" s="77">
        <v>0</v>
      </c>
      <c r="AT184" s="79">
        <f t="shared" si="229"/>
        <v>0</v>
      </c>
      <c r="AU184" s="77">
        <f t="shared" si="230"/>
        <v>0</v>
      </c>
      <c r="AV184" s="77">
        <v>0</v>
      </c>
      <c r="AW184" s="77">
        <f t="shared" si="231"/>
        <v>0</v>
      </c>
      <c r="AX184" s="77">
        <f t="shared" si="232"/>
        <v>0</v>
      </c>
      <c r="AY184" s="77">
        <f t="shared" si="233"/>
        <v>0</v>
      </c>
      <c r="AZ184" s="77">
        <f t="shared" si="234"/>
        <v>0</v>
      </c>
      <c r="BA184" s="77">
        <f t="shared" si="235"/>
        <v>0</v>
      </c>
      <c r="BB184" s="77">
        <f t="shared" si="236"/>
        <v>0</v>
      </c>
      <c r="BC184" s="77">
        <f t="shared" si="221"/>
        <v>0</v>
      </c>
      <c r="BD184" s="77">
        <f>IF($S184&gt;=12,IF(($S184*5)&gt;1200,1200,$S184*5),0)*$H184</f>
        <v>950</v>
      </c>
      <c r="BE184" s="77">
        <v>0</v>
      </c>
      <c r="BF184" s="77">
        <f t="shared" si="237"/>
        <v>105.60000000000001</v>
      </c>
      <c r="BG184" s="77">
        <f>VLOOKUP($AJ184,BENE!$I$2:$N$9,6,FALSE)*'Position Control'!$H184</f>
        <v>760</v>
      </c>
      <c r="BH184" s="77">
        <f>VLOOKUP($AK184,BENE!$A$2:$F$19,6,FALSE)*'Position Control'!$H184</f>
        <v>15700</v>
      </c>
      <c r="BI184" s="77">
        <f>VLOOKUP($AK184,BENE!$A$2:$G$19,7,FALSE)*'Position Control'!$H184</f>
        <v>1500</v>
      </c>
      <c r="BJ184" s="77">
        <f>VLOOKUP($AL184,BENE!$P$2:$S$6,4,FALSE)*'Position Control'!$H184</f>
        <v>444</v>
      </c>
      <c r="BK184" s="77">
        <f>IF($F184&gt;HRS!$H$2,ROUNDUP(((($AN184+$BE184)*$BK$3)/12*9)+(($AN184+$BE184)*HRS!$B$10/12*3),0),0)*$H184</f>
        <v>7389</v>
      </c>
      <c r="BL184" s="80">
        <f t="shared" si="238"/>
        <v>392</v>
      </c>
      <c r="BM184" s="77">
        <f t="shared" si="239"/>
        <v>144</v>
      </c>
      <c r="BN184" s="77">
        <f t="shared" si="240"/>
        <v>636</v>
      </c>
      <c r="BO184" s="77">
        <f t="shared" si="241"/>
        <v>79</v>
      </c>
      <c r="BP184" s="77">
        <f t="shared" si="242"/>
        <v>1500</v>
      </c>
      <c r="BQ184" s="77">
        <v>0</v>
      </c>
      <c r="BR184" s="80">
        <f t="shared" si="243"/>
        <v>73422.600000000006</v>
      </c>
    </row>
    <row r="185" spans="1:70" outlineLevel="1" x14ac:dyDescent="0.35">
      <c r="A185" s="1" t="s">
        <v>6</v>
      </c>
      <c r="B185" s="1" t="s">
        <v>7</v>
      </c>
      <c r="C185" s="1" t="s">
        <v>8</v>
      </c>
      <c r="D185" s="1" t="s">
        <v>202</v>
      </c>
      <c r="E185" s="1" t="s">
        <v>203</v>
      </c>
      <c r="F185" s="2">
        <v>1</v>
      </c>
      <c r="G185" s="66">
        <v>1</v>
      </c>
      <c r="H185" s="66">
        <v>1</v>
      </c>
      <c r="I185" s="1" t="s">
        <v>411</v>
      </c>
      <c r="J185" s="1" t="s">
        <v>408</v>
      </c>
      <c r="K185" s="1" t="s">
        <v>204</v>
      </c>
      <c r="L185" s="76" t="str">
        <f>IF(M185="","N",STEP!$J$22)</f>
        <v>N</v>
      </c>
      <c r="M185" s="1" t="s">
        <v>11</v>
      </c>
      <c r="N185" s="1" t="s">
        <v>11</v>
      </c>
      <c r="O185" s="1" t="s">
        <v>11</v>
      </c>
      <c r="P185" s="1"/>
      <c r="Q185" s="185">
        <v>20221002</v>
      </c>
      <c r="R185" s="196">
        <v>44836</v>
      </c>
      <c r="S185" s="197">
        <f t="shared" si="223"/>
        <v>0</v>
      </c>
      <c r="T185" s="66">
        <f t="shared" si="224"/>
        <v>0</v>
      </c>
      <c r="U185" s="65" t="s">
        <v>11</v>
      </c>
      <c r="V185" s="70">
        <v>16.148399999999999</v>
      </c>
      <c r="W185" s="74" t="str">
        <f>IF(U185="","",(1-Y185))</f>
        <v/>
      </c>
      <c r="X185" s="70" t="str" cm="1">
        <f t="array" ref="X185">IF(U185="","",INDEX(STEP!$C:$C,MATCH('Position Control'!M185&amp;'Position Control'!P185,STEP!$A:$A&amp;STEP!$B:$B,0)))</f>
        <v/>
      </c>
      <c r="Y185" s="74" t="str">
        <f t="shared" si="244"/>
        <v/>
      </c>
      <c r="Z185" s="1">
        <v>9102</v>
      </c>
      <c r="AA185" s="112">
        <f>VLOOKUP(Z185,'WRK COMP'!$A$1:$E$17,5,FALSE)</f>
        <v>8.9280000000000002E-3</v>
      </c>
      <c r="AB185" s="76" t="s">
        <v>13</v>
      </c>
      <c r="AC185" s="68">
        <v>0</v>
      </c>
      <c r="AD185" s="68">
        <v>0</v>
      </c>
      <c r="AE185" s="68">
        <v>0</v>
      </c>
      <c r="AF185" s="68">
        <v>0</v>
      </c>
      <c r="AG185" s="68">
        <v>0</v>
      </c>
      <c r="AH185" s="68">
        <v>0</v>
      </c>
      <c r="AI185" s="68">
        <v>0</v>
      </c>
      <c r="AJ185" s="1" t="s">
        <v>14</v>
      </c>
      <c r="AK185" s="1" t="s">
        <v>15</v>
      </c>
      <c r="AL185" s="1" t="s">
        <v>16</v>
      </c>
      <c r="AM185" s="78">
        <f>IF(F185&gt;0.79,IF(ROUNDUP(IF(B185="FS",(V185*HRS!$B$9),(V185*HRS!$L$2))*2,-3)&gt;150000,150000,(ROUNDUP(IF(B185="FS",(V185*HRS!$B$9),(V185*HRS!$L$2))*2,-3))),0)</f>
        <v>68000</v>
      </c>
      <c r="AN185" s="188">
        <f t="shared" si="225"/>
        <v>33589</v>
      </c>
      <c r="AO185" s="77">
        <f>IF(L185="N",IF(B185="FS",ROUNDUP($V185*HRS!$B$9*'Position Control'!F185,0),ROUNDUP('Position Control'!$V185*HRS!$L$2*'Position Control'!F185,0)),IF('Position Control'!B185="FS",ROUNDUP(('Position Control'!V185*HRS!$B$9*'Position Control'!W185*'Position Control'!F185)+('Position Control'!X185*HRS!$B$9*'Position Control'!Y185*'Position Control'!F185),0),ROUNDUP(('Position Control'!V185*HRS!$L$2*'Position Control'!W185*'Position Control'!F185)+('Position Control'!X185*HRS!$L$2*'Position Control'!Y185*'Position Control'!F185),0)))*'Position Control'!H185</f>
        <v>33589</v>
      </c>
      <c r="AP185" s="77">
        <f t="shared" si="226"/>
        <v>0</v>
      </c>
      <c r="AQ185" s="77">
        <f t="shared" si="227"/>
        <v>0</v>
      </c>
      <c r="AR185" s="77">
        <f t="shared" si="228"/>
        <v>0</v>
      </c>
      <c r="AS185" s="77">
        <v>0</v>
      </c>
      <c r="AT185" s="79">
        <f t="shared" si="229"/>
        <v>0</v>
      </c>
      <c r="AU185" s="77">
        <f t="shared" si="230"/>
        <v>0</v>
      </c>
      <c r="AV185" s="77">
        <v>0</v>
      </c>
      <c r="AW185" s="77">
        <f t="shared" si="231"/>
        <v>0</v>
      </c>
      <c r="AX185" s="77">
        <f t="shared" si="232"/>
        <v>0</v>
      </c>
      <c r="AY185" s="77">
        <f t="shared" si="233"/>
        <v>0</v>
      </c>
      <c r="AZ185" s="77">
        <f t="shared" si="234"/>
        <v>0</v>
      </c>
      <c r="BA185" s="77">
        <f t="shared" si="235"/>
        <v>0</v>
      </c>
      <c r="BB185" s="77">
        <f t="shared" si="236"/>
        <v>0</v>
      </c>
      <c r="BC185" s="77">
        <f>SUM(AX185:BB185)</f>
        <v>0</v>
      </c>
      <c r="BD185" s="77">
        <f>IF($S185&gt;=12,IF(($S185*5)&gt;1200,1200,$S185*5),0)*$H185</f>
        <v>0</v>
      </c>
      <c r="BE185" s="77">
        <v>0</v>
      </c>
      <c r="BF185" s="77">
        <f t="shared" si="237"/>
        <v>81.600000000000009</v>
      </c>
      <c r="BG185" s="77">
        <f>VLOOKUP($AJ185,BENE!$I$2:$N$9,6,FALSE)*'Position Control'!$H185</f>
        <v>389</v>
      </c>
      <c r="BH185" s="77">
        <f>VLOOKUP($AK185,BENE!$A$2:$F$19,6,FALSE)*'Position Control'!$H185</f>
        <v>6142</v>
      </c>
      <c r="BI185" s="77">
        <f>VLOOKUP($AK185,BENE!$A$2:$G$19,7,FALSE)*'Position Control'!$H185</f>
        <v>1000</v>
      </c>
      <c r="BJ185" s="77">
        <f>VLOOKUP($AL185,BENE!$P$2:$S$6,4,FALSE)*'Position Control'!$H185</f>
        <v>240</v>
      </c>
      <c r="BK185" s="77">
        <f>IF($F185&gt;HRS!$H$2,ROUNDUP(((($AN185+$BE185)*$BK$3)/12*9)+(($AN185+$BE185)*HRS!$B$10/12*3),0),0)*$H185</f>
        <v>5664</v>
      </c>
      <c r="BL185" s="80">
        <f t="shared" si="238"/>
        <v>300</v>
      </c>
      <c r="BM185" s="77">
        <f t="shared" si="239"/>
        <v>144</v>
      </c>
      <c r="BN185" s="77">
        <f t="shared" si="240"/>
        <v>488</v>
      </c>
      <c r="BO185" s="77">
        <f t="shared" si="241"/>
        <v>60</v>
      </c>
      <c r="BP185" s="77">
        <f t="shared" si="242"/>
        <v>0</v>
      </c>
      <c r="BQ185" s="77">
        <v>0</v>
      </c>
      <c r="BR185" s="80">
        <f t="shared" si="243"/>
        <v>48097.599999999999</v>
      </c>
    </row>
    <row r="186" spans="1:70" outlineLevel="1" x14ac:dyDescent="0.35">
      <c r="A186" s="1" t="s">
        <v>6</v>
      </c>
      <c r="B186" s="1" t="s">
        <v>7</v>
      </c>
      <c r="C186" s="1" t="s">
        <v>8</v>
      </c>
      <c r="D186" s="1" t="s">
        <v>202</v>
      </c>
      <c r="E186" s="1" t="s">
        <v>203</v>
      </c>
      <c r="F186" s="2">
        <v>1</v>
      </c>
      <c r="G186" s="66">
        <v>0</v>
      </c>
      <c r="H186" s="66">
        <v>1</v>
      </c>
      <c r="I186" s="10" t="s">
        <v>409</v>
      </c>
      <c r="J186" s="10" t="s">
        <v>410</v>
      </c>
      <c r="K186" s="1"/>
      <c r="L186" s="76"/>
      <c r="M186" s="1"/>
      <c r="N186" s="1"/>
      <c r="O186" s="1"/>
      <c r="P186" s="1"/>
      <c r="Q186" s="185">
        <v>20221002</v>
      </c>
      <c r="R186" s="196">
        <v>44836</v>
      </c>
      <c r="S186" s="197">
        <f t="shared" si="223"/>
        <v>0</v>
      </c>
      <c r="T186" s="66">
        <f t="shared" si="224"/>
        <v>0</v>
      </c>
      <c r="U186" s="1"/>
      <c r="V186" s="70">
        <v>0</v>
      </c>
      <c r="W186" s="74"/>
      <c r="X186" s="70"/>
      <c r="Y186" s="74"/>
      <c r="Z186" s="1">
        <v>9102</v>
      </c>
      <c r="AA186" s="112">
        <f>VLOOKUP(Z186,'WRK COMP'!$A$1:$E$17,5,FALSE)</f>
        <v>8.9280000000000002E-3</v>
      </c>
      <c r="AB186" s="76" t="s">
        <v>13</v>
      </c>
      <c r="AC186" s="68">
        <v>0</v>
      </c>
      <c r="AD186" s="68">
        <v>0</v>
      </c>
      <c r="AE186" s="68">
        <v>0</v>
      </c>
      <c r="AF186" s="68">
        <v>0</v>
      </c>
      <c r="AG186" s="68">
        <v>0</v>
      </c>
      <c r="AH186" s="68">
        <v>0</v>
      </c>
      <c r="AI186" s="68">
        <v>0</v>
      </c>
      <c r="AJ186" s="10" t="s">
        <v>49</v>
      </c>
      <c r="AK186" s="10" t="s">
        <v>49</v>
      </c>
      <c r="AL186" s="10" t="s">
        <v>49</v>
      </c>
      <c r="AM186" s="78">
        <f>IF(F186&gt;0.79,IF(ROUNDUP(IF(B186="FS",(V186*HRS!$B$9),(V186*HRS!$L$2))*2,-3)&gt;150000,150000,(ROUNDUP(IF(B186="FS",(V186*HRS!$B$9),(V186*HRS!$L$2))*2,-3))),0)</f>
        <v>0</v>
      </c>
      <c r="AN186" s="188">
        <f t="shared" si="225"/>
        <v>0</v>
      </c>
      <c r="AO186" s="77">
        <f>IF(L186="N",IF(B186="FS",ROUNDUP($V186*HRS!$B$9*'Position Control'!F186,0),ROUNDUP('Position Control'!$V186*HRS!$L$2*'Position Control'!F186,0)),IF('Position Control'!B186="FS",ROUNDUP(('Position Control'!V186*HRS!$B$9*'Position Control'!W186*'Position Control'!F186)+('Position Control'!X186*HRS!$B$9*'Position Control'!Y186*'Position Control'!F186),0),ROUNDUP(('Position Control'!V186*HRS!$L$2*'Position Control'!W186*'Position Control'!F186)+('Position Control'!X186*HRS!$L$2*'Position Control'!Y186*'Position Control'!F186),0)))*'Position Control'!H186</f>
        <v>0</v>
      </c>
      <c r="AP186" s="77">
        <f t="shared" si="226"/>
        <v>0</v>
      </c>
      <c r="AQ186" s="77">
        <f t="shared" si="227"/>
        <v>0</v>
      </c>
      <c r="AR186" s="77">
        <f t="shared" si="228"/>
        <v>0</v>
      </c>
      <c r="AS186" s="77">
        <v>0</v>
      </c>
      <c r="AT186" s="79">
        <f t="shared" si="229"/>
        <v>0</v>
      </c>
      <c r="AU186" s="77">
        <f t="shared" si="230"/>
        <v>0</v>
      </c>
      <c r="AV186" s="77">
        <v>0</v>
      </c>
      <c r="AW186" s="77">
        <f t="shared" si="231"/>
        <v>0</v>
      </c>
      <c r="AX186" s="77">
        <f t="shared" si="232"/>
        <v>0</v>
      </c>
      <c r="AY186" s="77">
        <f t="shared" si="233"/>
        <v>0</v>
      </c>
      <c r="AZ186" s="77">
        <f t="shared" si="234"/>
        <v>0</v>
      </c>
      <c r="BA186" s="77">
        <f t="shared" si="235"/>
        <v>0</v>
      </c>
      <c r="BB186" s="77">
        <f t="shared" si="236"/>
        <v>0</v>
      </c>
      <c r="BC186" s="77">
        <f t="shared" si="221"/>
        <v>0</v>
      </c>
      <c r="BD186" s="77">
        <f>IF($S186&gt;=12,IF(($S186*5)&gt;1200,1200,$S186*5),0)*$H186</f>
        <v>0</v>
      </c>
      <c r="BE186" s="77">
        <f>'DIVISION BUDGETS'!D26</f>
        <v>13000</v>
      </c>
      <c r="BF186" s="77">
        <f t="shared" si="237"/>
        <v>0</v>
      </c>
      <c r="BG186" s="77">
        <f>VLOOKUP($AJ186,BENE!$I$2:$N$9,6,FALSE)*'Position Control'!$H186</f>
        <v>0</v>
      </c>
      <c r="BH186" s="77">
        <f>VLOOKUP($AK186,BENE!$A$2:$F$19,6,FALSE)*'Position Control'!$H186</f>
        <v>0</v>
      </c>
      <c r="BI186" s="77">
        <f>VLOOKUP($AK186,BENE!$A$2:$G$19,7,FALSE)*'Position Control'!$H186</f>
        <v>0</v>
      </c>
      <c r="BJ186" s="77">
        <f>VLOOKUP($AL186,BENE!$P$2:$S$6,4,FALSE)*'Position Control'!$H186</f>
        <v>0</v>
      </c>
      <c r="BK186" s="77">
        <f>IF($F186&gt;HRS!$H$2,ROUNDUP(((($AN186+$BE186)*$BK$3)/12*9)+(($AN186+$BE186)*HRS!$B$10/12*3),0),0)*$H186</f>
        <v>2192</v>
      </c>
      <c r="BL186" s="80">
        <f t="shared" si="238"/>
        <v>0</v>
      </c>
      <c r="BM186" s="77">
        <f t="shared" si="239"/>
        <v>0</v>
      </c>
      <c r="BN186" s="77">
        <f t="shared" si="240"/>
        <v>0</v>
      </c>
      <c r="BO186" s="77">
        <f t="shared" si="241"/>
        <v>0</v>
      </c>
      <c r="BP186" s="77">
        <f t="shared" si="242"/>
        <v>0</v>
      </c>
      <c r="BQ186" s="77">
        <f>'DIVISION BUDGETS'!G26</f>
        <v>4160</v>
      </c>
      <c r="BR186" s="80">
        <f t="shared" si="243"/>
        <v>19352</v>
      </c>
    </row>
    <row r="187" spans="1:70" s="171" customFormat="1" x14ac:dyDescent="0.35">
      <c r="A187" s="161"/>
      <c r="B187" s="161"/>
      <c r="C187" s="161"/>
      <c r="D187" s="161"/>
      <c r="E187" s="161"/>
      <c r="F187" s="162"/>
      <c r="G187" s="163">
        <f>SUBTOTAL(9,G173:G186)</f>
        <v>13</v>
      </c>
      <c r="H187" s="163"/>
      <c r="I187" s="161" t="s">
        <v>561</v>
      </c>
      <c r="J187" s="161"/>
      <c r="K187" s="161"/>
      <c r="L187" s="164"/>
      <c r="M187" s="161"/>
      <c r="N187" s="161"/>
      <c r="O187" s="161"/>
      <c r="P187" s="161"/>
      <c r="Q187" s="186"/>
      <c r="R187" s="200"/>
      <c r="S187" s="208"/>
      <c r="T187" s="163"/>
      <c r="U187" s="161"/>
      <c r="V187" s="165"/>
      <c r="W187" s="166"/>
      <c r="X187" s="165"/>
      <c r="Y187" s="166"/>
      <c r="Z187" s="161"/>
      <c r="AA187" s="167"/>
      <c r="AB187" s="164"/>
      <c r="AC187" s="168"/>
      <c r="AD187" s="168"/>
      <c r="AE187" s="168"/>
      <c r="AF187" s="168"/>
      <c r="AG187" s="168"/>
      <c r="AH187" s="168"/>
      <c r="AI187" s="168"/>
      <c r="AJ187" s="161"/>
      <c r="AK187" s="161"/>
      <c r="AL187" s="161"/>
      <c r="AM187" s="169"/>
      <c r="AN187" s="189">
        <f t="shared" ref="AN187:BR187" si="246">SUBTOTAL(9,AN173:AN186)</f>
        <v>710544</v>
      </c>
      <c r="AO187" s="170">
        <f t="shared" si="246"/>
        <v>704836</v>
      </c>
      <c r="AP187" s="170">
        <f t="shared" si="246"/>
        <v>0</v>
      </c>
      <c r="AQ187" s="170">
        <f t="shared" si="246"/>
        <v>5708</v>
      </c>
      <c r="AR187" s="170">
        <f t="shared" si="246"/>
        <v>0</v>
      </c>
      <c r="AS187" s="170">
        <f t="shared" si="246"/>
        <v>0</v>
      </c>
      <c r="AT187" s="170">
        <f t="shared" si="246"/>
        <v>0</v>
      </c>
      <c r="AU187" s="170">
        <f t="shared" si="246"/>
        <v>0</v>
      </c>
      <c r="AV187" s="170">
        <f t="shared" si="246"/>
        <v>0</v>
      </c>
      <c r="AW187" s="170">
        <f t="shared" si="246"/>
        <v>0</v>
      </c>
      <c r="AX187" s="170">
        <f t="shared" si="246"/>
        <v>0</v>
      </c>
      <c r="AY187" s="170">
        <f t="shared" si="246"/>
        <v>0</v>
      </c>
      <c r="AZ187" s="170">
        <f t="shared" si="246"/>
        <v>0</v>
      </c>
      <c r="BA187" s="170">
        <f t="shared" si="246"/>
        <v>0</v>
      </c>
      <c r="BB187" s="170">
        <f t="shared" si="246"/>
        <v>0</v>
      </c>
      <c r="BC187" s="170">
        <f t="shared" si="246"/>
        <v>0</v>
      </c>
      <c r="BD187" s="170">
        <f t="shared" si="246"/>
        <v>9795</v>
      </c>
      <c r="BE187" s="170">
        <f t="shared" si="246"/>
        <v>13000</v>
      </c>
      <c r="BF187" s="170">
        <f t="shared" si="246"/>
        <v>1556.3999999999996</v>
      </c>
      <c r="BG187" s="170">
        <f t="shared" si="246"/>
        <v>5164</v>
      </c>
      <c r="BH187" s="170">
        <f t="shared" si="246"/>
        <v>86678</v>
      </c>
      <c r="BI187" s="170">
        <f t="shared" si="246"/>
        <v>11500</v>
      </c>
      <c r="BJ187" s="170">
        <f t="shared" si="246"/>
        <v>2268</v>
      </c>
      <c r="BK187" s="170">
        <f t="shared" si="246"/>
        <v>121996</v>
      </c>
      <c r="BL187" s="170">
        <f t="shared" si="246"/>
        <v>6349</v>
      </c>
      <c r="BM187" s="170">
        <f t="shared" si="246"/>
        <v>1872</v>
      </c>
      <c r="BN187" s="170">
        <f t="shared" si="246"/>
        <v>7951</v>
      </c>
      <c r="BO187" s="170">
        <f t="shared" si="246"/>
        <v>1280</v>
      </c>
      <c r="BP187" s="170">
        <f t="shared" si="246"/>
        <v>13750</v>
      </c>
      <c r="BQ187" s="170">
        <f t="shared" si="246"/>
        <v>4160</v>
      </c>
      <c r="BR187" s="170">
        <f t="shared" si="246"/>
        <v>997863.39999999991</v>
      </c>
    </row>
    <row r="188" spans="1:70" outlineLevel="1" x14ac:dyDescent="0.35">
      <c r="A188" s="1" t="s">
        <v>6</v>
      </c>
      <c r="B188" s="1" t="s">
        <v>7</v>
      </c>
      <c r="C188" s="1" t="s">
        <v>8</v>
      </c>
      <c r="D188" s="1" t="s">
        <v>202</v>
      </c>
      <c r="E188" s="1" t="s">
        <v>216</v>
      </c>
      <c r="F188" s="2">
        <v>1</v>
      </c>
      <c r="G188" s="66">
        <v>1</v>
      </c>
      <c r="H188" s="66">
        <v>1</v>
      </c>
      <c r="I188" s="1" t="s">
        <v>611</v>
      </c>
      <c r="J188" s="1" t="s">
        <v>612</v>
      </c>
      <c r="K188" s="1" t="s">
        <v>219</v>
      </c>
      <c r="L188" s="76" t="str">
        <f>IF(M188="","N",STEP!$J$22)</f>
        <v>N</v>
      </c>
      <c r="M188" s="1" t="s">
        <v>11</v>
      </c>
      <c r="N188" s="1" t="s">
        <v>11</v>
      </c>
      <c r="O188" s="1" t="s">
        <v>11</v>
      </c>
      <c r="P188" s="1"/>
      <c r="Q188" s="185">
        <v>20200226</v>
      </c>
      <c r="R188" s="196">
        <v>43887</v>
      </c>
      <c r="S188" s="197">
        <f t="shared" ref="S188:S211" si="247">IF(A188="FT",IF(R188&gt;$S$1,0,(DATEDIF(R188,$S$1,"M"))),0)</f>
        <v>31</v>
      </c>
      <c r="T188" s="66">
        <f t="shared" ref="T188:T211" si="248">ROUNDDOWN(IF(A188="FT",DATEDIF(R188,$T$1,"y"),0),0)</f>
        <v>3</v>
      </c>
      <c r="U188" s="65" t="s">
        <v>11</v>
      </c>
      <c r="V188" s="70">
        <v>26.303899999999999</v>
      </c>
      <c r="W188" s="74" t="str">
        <f t="shared" si="219"/>
        <v/>
      </c>
      <c r="X188" s="70" t="str" cm="1">
        <f t="array" ref="X188">IF(U188="","",INDEX(STEP!$C:$C,MATCH('Position Control'!M188&amp;'Position Control'!P188,STEP!$A:$A&amp;STEP!$B:$B,0)))</f>
        <v/>
      </c>
      <c r="Y188" s="74" t="str">
        <f>IF(L188="Y",(20221001-U188)/10000,"")</f>
        <v/>
      </c>
      <c r="Z188" s="1">
        <v>9102</v>
      </c>
      <c r="AA188" s="112">
        <f>VLOOKUP(Z188,'WRK COMP'!$A$1:$E$17,5,FALSE)</f>
        <v>8.9280000000000002E-3</v>
      </c>
      <c r="AB188" s="76" t="s">
        <v>13</v>
      </c>
      <c r="AC188" s="68">
        <v>0</v>
      </c>
      <c r="AD188" s="68">
        <v>0</v>
      </c>
      <c r="AE188" s="68">
        <v>0</v>
      </c>
      <c r="AF188" s="68">
        <v>0</v>
      </c>
      <c r="AG188" s="68">
        <v>0</v>
      </c>
      <c r="AH188" s="68">
        <v>0</v>
      </c>
      <c r="AI188" s="68">
        <v>0</v>
      </c>
      <c r="AJ188" s="1" t="s">
        <v>14</v>
      </c>
      <c r="AK188" s="1" t="s">
        <v>43</v>
      </c>
      <c r="AL188" s="10" t="s">
        <v>49</v>
      </c>
      <c r="AM188" s="78">
        <f>IF(F188&gt;0.79,IF(ROUNDUP(IF(B188="FS",(V188*HRS!$B$9),(V188*HRS!$L$2))*2,-3)&gt;150000,150000,(ROUNDUP(IF(B188="FS",(V188*HRS!$B$9),(V188*HRS!$L$2))*2,-3))),0)</f>
        <v>110000</v>
      </c>
      <c r="AN188" s="188">
        <f t="shared" ref="AN188:AN211" si="249">SUM(AO188:BB188)</f>
        <v>54713</v>
      </c>
      <c r="AO188" s="77">
        <f>IF(L188="N",IF(B188="FS",ROUNDUP($V188*HRS!$B$9*'Position Control'!F188,0),ROUNDUP('Position Control'!$V188*HRS!$L$2*'Position Control'!F188,0)),IF('Position Control'!B188="FS",ROUNDUP(('Position Control'!V188*HRS!$B$9*'Position Control'!W188*'Position Control'!F188)+('Position Control'!X188*HRS!$B$9*'Position Control'!Y188*'Position Control'!F188),0),ROUNDUP(('Position Control'!V188*HRS!$L$2*'Position Control'!W188*'Position Control'!F188)+('Position Control'!X188*HRS!$L$2*'Position Control'!Y188*'Position Control'!F188),0)))*'Position Control'!H188</f>
        <v>54713</v>
      </c>
      <c r="AP188" s="77">
        <f t="shared" ref="AP188:AP211" si="250">ROUNDUP(52*AC188,0)*H188</f>
        <v>0</v>
      </c>
      <c r="AQ188" s="77">
        <f t="shared" ref="AQ188:AQ211" si="251">IF(B188="FS",ROUNDUP(24*AD188,0),IF(B188="POL",ROUNDUP(26*AD188,0),ROUNDUP(52*AD188,0)))*$H188</f>
        <v>0</v>
      </c>
      <c r="AR188" s="77">
        <f t="shared" ref="AR188:AR211" si="252">IF(B188="FS",ROUNDUP(AG188*24,0),ROUNDUP(52*AG188,0))*H188</f>
        <v>0</v>
      </c>
      <c r="AS188" s="77">
        <v>0</v>
      </c>
      <c r="AT188" s="79">
        <f t="shared" ref="AT188:AT211" si="253">ROUNDUP(26*AF188,0)*H188</f>
        <v>0</v>
      </c>
      <c r="AU188" s="77">
        <f t="shared" ref="AU188:AU211" si="254">IF(B188="FS",ROUNDUP(24*AH188,0),IF(B188="POL",ROUNDUP(26*AH188,0),ROUNDUP(48*AH188,0)))*$H188</f>
        <v>0</v>
      </c>
      <c r="AV188" s="77">
        <v>0</v>
      </c>
      <c r="AW188" s="77">
        <f t="shared" ref="AW188:AW211" si="255">IF(B188="FS",ROUNDUP(24*AE188,0),IF(B188="POL",ROUNDUP(26*AE188,0),ROUNDUP(52*AE188,0)))*$H188</f>
        <v>0</v>
      </c>
      <c r="AX188" s="77">
        <f t="shared" ref="AX188:AX211" si="256">IF(AND(Q188&lt;20220401,A188&lt;&gt;"SP"),($AX$3*(AO188+BE188)),0)</f>
        <v>0</v>
      </c>
      <c r="AY188" s="77">
        <f t="shared" ref="AY188:AY211" si="257">IF(AND($L188="N",$Q188&lt;20220401,$A188&lt;&gt;"SP",$AO188&lt;100000),($AY$3*($AO188+$BE188)),0)</f>
        <v>0</v>
      </c>
      <c r="AZ188" s="77">
        <f t="shared" ref="AZ188:AZ211" si="258">IF(AND($L188="N",$Q188&lt;20220401,$A188&lt;&gt;"SP",$AO188&gt;100000),($AZ$3*($AO188+$BE188)),0)</f>
        <v>0</v>
      </c>
      <c r="BA188" s="77">
        <f t="shared" ref="BA188:BA211" si="259">IF(AND($L188="N",$Q188&lt;20220401,$A188&lt;&gt;"SP"),($BA$3*($AO188+$BE188)),0)</f>
        <v>0</v>
      </c>
      <c r="BB188" s="77">
        <f t="shared" ref="BB188:BB211" si="260">IF(AND($L188="Y",$Q188&lt;20220401,$A188&lt;&gt;"SP"),($BB$3*($AO188+$BE188)),0)</f>
        <v>0</v>
      </c>
      <c r="BC188" s="77">
        <f t="shared" si="221"/>
        <v>0</v>
      </c>
      <c r="BD188" s="77">
        <f>IF($S188&gt;=12,IF(($S188*5)&gt;1200,1200,$S188*5),0)*$H188</f>
        <v>155</v>
      </c>
      <c r="BE188" s="77">
        <v>0</v>
      </c>
      <c r="BF188" s="77">
        <f t="shared" ref="BF188:BF211" si="261">$AM188*$BF$3*12*$H188</f>
        <v>132</v>
      </c>
      <c r="BG188" s="77">
        <f>VLOOKUP($AJ188,BENE!$I$2:$N$9,6,FALSE)*'Position Control'!$H188</f>
        <v>389</v>
      </c>
      <c r="BH188" s="77">
        <f>VLOOKUP($AK188,BENE!$A$2:$F$19,6,FALSE)*'Position Control'!$H188</f>
        <v>6870</v>
      </c>
      <c r="BI188" s="77">
        <f>VLOOKUP($AK188,BENE!$A$2:$G$19,7,FALSE)*'Position Control'!$H188</f>
        <v>0</v>
      </c>
      <c r="BJ188" s="77">
        <f>VLOOKUP($AL188,BENE!$P$2:$S$6,4,FALSE)*'Position Control'!$H188</f>
        <v>0</v>
      </c>
      <c r="BK188" s="77">
        <f>IF($F188&gt;HRS!$H$2,ROUNDUP(((($AN188+$BE188)*$BK$3)/12*9)+(($AN188+$BE188)*HRS!$B$10/12*3),0),0)*$H188</f>
        <v>9225</v>
      </c>
      <c r="BL188" s="80">
        <f t="shared" ref="BL188:BL211" si="262">ROUNDUP($AN188*$AA188,0)*$H188</f>
        <v>489</v>
      </c>
      <c r="BM188" s="77">
        <f t="shared" ref="BM188:BM211" si="263">ROUNDUP(IF($AN188&gt;9000,$BM$3*9000,$BM$3*$AN188),0)*$H188</f>
        <v>144</v>
      </c>
      <c r="BN188" s="77">
        <f t="shared" ref="BN188:BN211" si="264">IF($AB188="Y",ROUNDUP($AN188*$BN$3,0),0)*$H188</f>
        <v>794</v>
      </c>
      <c r="BO188" s="77">
        <f t="shared" ref="BO188:BO211" si="265">IF($A188&lt;&gt;"SP",ROUND($BO$3*$AN188,0)*$H188,0)</f>
        <v>98</v>
      </c>
      <c r="BP188" s="77">
        <f t="shared" ref="BP188:BP211" si="266">IF($T188&gt;24,2000,IF($T188&gt;19,1750,IF($T188&gt;14,1500,IF($T188&gt;9.9999999999999,1000,0))))*$H188</f>
        <v>0</v>
      </c>
      <c r="BQ188" s="77">
        <v>0</v>
      </c>
      <c r="BR188" s="80">
        <f t="shared" ref="BR188:BR211" si="267">SUM(AO188:AW188)+SUM(BC188:BQ188)</f>
        <v>73009</v>
      </c>
    </row>
    <row r="189" spans="1:70" outlineLevel="1" x14ac:dyDescent="0.35">
      <c r="A189" s="1" t="s">
        <v>6</v>
      </c>
      <c r="B189" s="1" t="s">
        <v>7</v>
      </c>
      <c r="C189" s="1" t="s">
        <v>8</v>
      </c>
      <c r="D189" s="1" t="s">
        <v>202</v>
      </c>
      <c r="E189" s="1" t="s">
        <v>216</v>
      </c>
      <c r="F189" s="2">
        <v>0</v>
      </c>
      <c r="G189" s="66">
        <v>1</v>
      </c>
      <c r="H189" s="66">
        <v>0</v>
      </c>
      <c r="I189" s="10" t="s">
        <v>407</v>
      </c>
      <c r="J189" s="10" t="s">
        <v>408</v>
      </c>
      <c r="K189" s="10" t="s">
        <v>574</v>
      </c>
      <c r="L189" s="76" t="str">
        <f>IF(M189="","N",STEP!$J$22)</f>
        <v>N</v>
      </c>
      <c r="M189" s="1"/>
      <c r="N189" s="1"/>
      <c r="O189" s="1"/>
      <c r="P189" s="1"/>
      <c r="Q189" s="185">
        <v>20221002</v>
      </c>
      <c r="R189" s="196">
        <v>44836</v>
      </c>
      <c r="S189" s="197">
        <f t="shared" si="247"/>
        <v>0</v>
      </c>
      <c r="T189" s="66">
        <f t="shared" si="248"/>
        <v>0</v>
      </c>
      <c r="U189" s="65"/>
      <c r="V189" s="70">
        <v>35.249699999999997</v>
      </c>
      <c r="W189" s="74"/>
      <c r="X189" s="70"/>
      <c r="Y189" s="74"/>
      <c r="Z189" s="1">
        <v>9102</v>
      </c>
      <c r="AA189" s="112">
        <f>VLOOKUP(Z189,'WRK COMP'!$A$1:$E$17,5,FALSE)</f>
        <v>8.9280000000000002E-3</v>
      </c>
      <c r="AB189" s="76" t="s">
        <v>13</v>
      </c>
      <c r="AC189" s="68">
        <v>0</v>
      </c>
      <c r="AD189" s="68">
        <v>0</v>
      </c>
      <c r="AE189" s="68">
        <v>0</v>
      </c>
      <c r="AF189" s="68">
        <v>0</v>
      </c>
      <c r="AG189" s="68">
        <v>0</v>
      </c>
      <c r="AH189" s="68">
        <v>0</v>
      </c>
      <c r="AI189" s="68">
        <v>0</v>
      </c>
      <c r="AJ189" s="1" t="s">
        <v>14</v>
      </c>
      <c r="AK189" s="10" t="s">
        <v>15</v>
      </c>
      <c r="AL189" s="1" t="s">
        <v>16</v>
      </c>
      <c r="AM189" s="78">
        <f>IF(F189&gt;0.79,IF(ROUNDUP(IF(B189="FS",(V189*HRS!$B$9),(V189*HRS!$L$2))*2,-3)&gt;150000,150000,(ROUNDUP(IF(B189="FS",(V189*HRS!$B$9),(V189*HRS!$L$2))*2,-3))),0)</f>
        <v>0</v>
      </c>
      <c r="AN189" s="188">
        <f t="shared" si="249"/>
        <v>0</v>
      </c>
      <c r="AO189" s="77">
        <f>IF(L189="N",IF(B189="FS",ROUNDUP($V189*HRS!$B$9*'Position Control'!F189,0),ROUNDUP('Position Control'!$V189*HRS!$L$2*'Position Control'!F189,0)),IF('Position Control'!B189="FS",ROUNDUP(('Position Control'!V189*HRS!$B$9*'Position Control'!W189*'Position Control'!F189)+('Position Control'!X189*HRS!$B$9*'Position Control'!Y189*'Position Control'!F189),0),ROUNDUP(('Position Control'!V189*HRS!$L$2*'Position Control'!W189*'Position Control'!F189)+('Position Control'!X189*HRS!$L$2*'Position Control'!Y189*'Position Control'!F189),0)))*'Position Control'!H189</f>
        <v>0</v>
      </c>
      <c r="AP189" s="77">
        <f t="shared" si="250"/>
        <v>0</v>
      </c>
      <c r="AQ189" s="77">
        <f t="shared" si="251"/>
        <v>0</v>
      </c>
      <c r="AR189" s="77">
        <f t="shared" si="252"/>
        <v>0</v>
      </c>
      <c r="AS189" s="77">
        <v>0</v>
      </c>
      <c r="AT189" s="79">
        <f t="shared" si="253"/>
        <v>0</v>
      </c>
      <c r="AU189" s="77">
        <f t="shared" si="254"/>
        <v>0</v>
      </c>
      <c r="AV189" s="77">
        <v>0</v>
      </c>
      <c r="AW189" s="77">
        <f t="shared" si="255"/>
        <v>0</v>
      </c>
      <c r="AX189" s="77">
        <f t="shared" si="256"/>
        <v>0</v>
      </c>
      <c r="AY189" s="77">
        <f t="shared" si="257"/>
        <v>0</v>
      </c>
      <c r="AZ189" s="77">
        <f t="shared" si="258"/>
        <v>0</v>
      </c>
      <c r="BA189" s="77">
        <f t="shared" si="259"/>
        <v>0</v>
      </c>
      <c r="BB189" s="77">
        <f t="shared" si="260"/>
        <v>0</v>
      </c>
      <c r="BC189" s="77">
        <f t="shared" si="221"/>
        <v>0</v>
      </c>
      <c r="BD189" s="77">
        <f>IF($S189&gt;=12,IF(($S189*5)&gt;1200,1200,$S189*5),0)*$H189</f>
        <v>0</v>
      </c>
      <c r="BE189" s="77">
        <v>0</v>
      </c>
      <c r="BF189" s="77">
        <f t="shared" si="261"/>
        <v>0</v>
      </c>
      <c r="BG189" s="77">
        <f>VLOOKUP($AJ189,BENE!$I$2:$N$9,6,FALSE)*'Position Control'!$H189</f>
        <v>0</v>
      </c>
      <c r="BH189" s="77">
        <f>VLOOKUP($AK189,BENE!$A$2:$F$19,6,FALSE)*'Position Control'!$H189</f>
        <v>0</v>
      </c>
      <c r="BI189" s="77">
        <f>VLOOKUP($AK189,BENE!$A$2:$G$19,7,FALSE)*'Position Control'!$H189</f>
        <v>0</v>
      </c>
      <c r="BJ189" s="77">
        <f>VLOOKUP($AL189,BENE!$P$2:$S$6,4,FALSE)*'Position Control'!$H189</f>
        <v>0</v>
      </c>
      <c r="BK189" s="77">
        <f>IF($F189&gt;HRS!$H$2,ROUNDUP(((($AN189+$BE189)*$BK$3)/12*9)+(($AN189+$BE189)*HRS!$B$10/12*3),0),0)*$H189</f>
        <v>0</v>
      </c>
      <c r="BL189" s="80">
        <f t="shared" si="262"/>
        <v>0</v>
      </c>
      <c r="BM189" s="77">
        <f t="shared" si="263"/>
        <v>0</v>
      </c>
      <c r="BN189" s="77">
        <f t="shared" si="264"/>
        <v>0</v>
      </c>
      <c r="BO189" s="77">
        <f t="shared" si="265"/>
        <v>0</v>
      </c>
      <c r="BP189" s="77">
        <f t="shared" si="266"/>
        <v>0</v>
      </c>
      <c r="BQ189" s="77">
        <v>0</v>
      </c>
      <c r="BR189" s="80">
        <f t="shared" si="267"/>
        <v>0</v>
      </c>
    </row>
    <row r="190" spans="1:70" outlineLevel="1" x14ac:dyDescent="0.35">
      <c r="A190" s="1" t="s">
        <v>6</v>
      </c>
      <c r="B190" s="1" t="s">
        <v>7</v>
      </c>
      <c r="C190" s="1" t="s">
        <v>8</v>
      </c>
      <c r="D190" s="1" t="s">
        <v>202</v>
      </c>
      <c r="E190" s="1" t="s">
        <v>216</v>
      </c>
      <c r="F190" s="2">
        <v>1</v>
      </c>
      <c r="G190" s="66">
        <v>1</v>
      </c>
      <c r="H190" s="66">
        <v>1</v>
      </c>
      <c r="I190" s="10" t="s">
        <v>411</v>
      </c>
      <c r="J190" s="10" t="s">
        <v>408</v>
      </c>
      <c r="K190" s="10" t="s">
        <v>575</v>
      </c>
      <c r="L190" s="76" t="str">
        <f>IF(M190="","N",STEP!$J$22)</f>
        <v>N</v>
      </c>
      <c r="M190" s="1"/>
      <c r="N190" s="1"/>
      <c r="O190" s="1"/>
      <c r="P190" s="1"/>
      <c r="Q190" s="185">
        <v>20221002</v>
      </c>
      <c r="R190" s="196">
        <v>44836</v>
      </c>
      <c r="S190" s="197">
        <f t="shared" si="247"/>
        <v>0</v>
      </c>
      <c r="T190" s="66">
        <f t="shared" si="248"/>
        <v>0</v>
      </c>
      <c r="U190" s="65"/>
      <c r="V190" s="70">
        <v>23.858699999999999</v>
      </c>
      <c r="W190" s="74"/>
      <c r="X190" s="70"/>
      <c r="Y190" s="74"/>
      <c r="Z190" s="1">
        <v>9102</v>
      </c>
      <c r="AA190" s="112">
        <f>VLOOKUP(Z190,'WRK COMP'!$A$1:$E$17,5,FALSE)</f>
        <v>8.9280000000000002E-3</v>
      </c>
      <c r="AB190" s="76" t="s">
        <v>13</v>
      </c>
      <c r="AC190" s="68">
        <v>0</v>
      </c>
      <c r="AD190" s="68">
        <v>0</v>
      </c>
      <c r="AE190" s="68">
        <v>0</v>
      </c>
      <c r="AF190" s="68">
        <v>0</v>
      </c>
      <c r="AG190" s="68">
        <v>0</v>
      </c>
      <c r="AH190" s="68">
        <v>0</v>
      </c>
      <c r="AI190" s="68">
        <v>0</v>
      </c>
      <c r="AJ190" s="1" t="s">
        <v>14</v>
      </c>
      <c r="AK190" s="10" t="s">
        <v>15</v>
      </c>
      <c r="AL190" s="1" t="s">
        <v>16</v>
      </c>
      <c r="AM190" s="78">
        <f>IF(F190&gt;0.79,IF(ROUNDUP(IF(B190="FS",(V190*HRS!$B$9),(V190*HRS!$L$2))*2,-3)&gt;150000,150000,(ROUNDUP(IF(B190="FS",(V190*HRS!$B$9),(V190*HRS!$L$2))*2,-3))),0)</f>
        <v>100000</v>
      </c>
      <c r="AN190" s="188">
        <f t="shared" si="249"/>
        <v>49627</v>
      </c>
      <c r="AO190" s="77">
        <f>IF(L190="N",IF(B190="FS",ROUNDUP($V190*HRS!$B$9*'Position Control'!F190,0),ROUNDUP('Position Control'!$V190*HRS!$L$2*'Position Control'!F190,0)),IF('Position Control'!B190="FS",ROUNDUP(('Position Control'!V190*HRS!$B$9*'Position Control'!W190*'Position Control'!F190)+('Position Control'!X190*HRS!$B$9*'Position Control'!Y190*'Position Control'!F190),0),ROUNDUP(('Position Control'!V190*HRS!$L$2*'Position Control'!W190*'Position Control'!F190)+('Position Control'!X190*HRS!$L$2*'Position Control'!Y190*'Position Control'!F190),0)))*'Position Control'!H190</f>
        <v>49627</v>
      </c>
      <c r="AP190" s="77">
        <f t="shared" si="250"/>
        <v>0</v>
      </c>
      <c r="AQ190" s="77">
        <f t="shared" si="251"/>
        <v>0</v>
      </c>
      <c r="AR190" s="77">
        <f t="shared" si="252"/>
        <v>0</v>
      </c>
      <c r="AS190" s="77">
        <v>0</v>
      </c>
      <c r="AT190" s="79">
        <f t="shared" si="253"/>
        <v>0</v>
      </c>
      <c r="AU190" s="77">
        <f t="shared" si="254"/>
        <v>0</v>
      </c>
      <c r="AV190" s="77">
        <v>0</v>
      </c>
      <c r="AW190" s="77">
        <f t="shared" si="255"/>
        <v>0</v>
      </c>
      <c r="AX190" s="77">
        <f t="shared" si="256"/>
        <v>0</v>
      </c>
      <c r="AY190" s="77">
        <f t="shared" si="257"/>
        <v>0</v>
      </c>
      <c r="AZ190" s="77">
        <f t="shared" si="258"/>
        <v>0</v>
      </c>
      <c r="BA190" s="77">
        <f t="shared" si="259"/>
        <v>0</v>
      </c>
      <c r="BB190" s="77">
        <f t="shared" si="260"/>
        <v>0</v>
      </c>
      <c r="BC190" s="77">
        <f t="shared" si="221"/>
        <v>0</v>
      </c>
      <c r="BD190" s="77">
        <f>IF($S190&gt;=12,IF(($S190*5)&gt;1200,1200,$S190*5),0)*$H190</f>
        <v>0</v>
      </c>
      <c r="BE190" s="77">
        <v>0</v>
      </c>
      <c r="BF190" s="77">
        <f t="shared" si="261"/>
        <v>120</v>
      </c>
      <c r="BG190" s="77">
        <f>VLOOKUP($AJ190,BENE!$I$2:$N$9,6,FALSE)*'Position Control'!$H190</f>
        <v>389</v>
      </c>
      <c r="BH190" s="77">
        <f>VLOOKUP($AK190,BENE!$A$2:$F$19,6,FALSE)*'Position Control'!$H190</f>
        <v>6142</v>
      </c>
      <c r="BI190" s="77">
        <f>VLOOKUP($AK190,BENE!$A$2:$G$19,7,FALSE)*'Position Control'!$H190</f>
        <v>1000</v>
      </c>
      <c r="BJ190" s="77">
        <f>VLOOKUP($AL190,BENE!$P$2:$S$6,4,FALSE)*'Position Control'!$H190</f>
        <v>240</v>
      </c>
      <c r="BK190" s="77">
        <f>IF($F190&gt;HRS!$H$2,ROUNDUP(((($AN190+$BE190)*$BK$3)/12*9)+(($AN190+$BE190)*HRS!$B$10/12*3),0),0)*$H190</f>
        <v>8368</v>
      </c>
      <c r="BL190" s="80">
        <f t="shared" si="262"/>
        <v>444</v>
      </c>
      <c r="BM190" s="77">
        <f t="shared" si="263"/>
        <v>144</v>
      </c>
      <c r="BN190" s="77">
        <f t="shared" si="264"/>
        <v>720</v>
      </c>
      <c r="BO190" s="77">
        <f t="shared" si="265"/>
        <v>89</v>
      </c>
      <c r="BP190" s="77">
        <f t="shared" si="266"/>
        <v>0</v>
      </c>
      <c r="BQ190" s="77">
        <v>0</v>
      </c>
      <c r="BR190" s="80">
        <f t="shared" si="267"/>
        <v>67283</v>
      </c>
    </row>
    <row r="191" spans="1:70" outlineLevel="1" x14ac:dyDescent="0.35">
      <c r="A191" s="1" t="s">
        <v>6</v>
      </c>
      <c r="B191" s="1" t="s">
        <v>7</v>
      </c>
      <c r="C191" s="1" t="s">
        <v>8</v>
      </c>
      <c r="D191" s="1" t="s">
        <v>202</v>
      </c>
      <c r="E191" s="1" t="s">
        <v>216</v>
      </c>
      <c r="F191" s="2">
        <v>0</v>
      </c>
      <c r="G191" s="66">
        <v>1</v>
      </c>
      <c r="H191" s="66">
        <v>0</v>
      </c>
      <c r="I191" s="10" t="s">
        <v>407</v>
      </c>
      <c r="J191" s="10" t="s">
        <v>408</v>
      </c>
      <c r="K191" s="10" t="s">
        <v>576</v>
      </c>
      <c r="L191" s="76" t="str">
        <f>IF(M191="","N",STEP!$J$22)</f>
        <v>N</v>
      </c>
      <c r="M191" s="1"/>
      <c r="N191" s="1"/>
      <c r="O191" s="1"/>
      <c r="P191" s="1"/>
      <c r="Q191" s="185">
        <v>20221002</v>
      </c>
      <c r="R191" s="196">
        <v>44836</v>
      </c>
      <c r="S191" s="197">
        <f t="shared" si="247"/>
        <v>0</v>
      </c>
      <c r="T191" s="66">
        <f t="shared" si="248"/>
        <v>0</v>
      </c>
      <c r="U191" s="65"/>
      <c r="V191" s="70">
        <v>23.858699999999999</v>
      </c>
      <c r="W191" s="74"/>
      <c r="X191" s="70"/>
      <c r="Y191" s="74"/>
      <c r="Z191" s="1">
        <v>9102</v>
      </c>
      <c r="AA191" s="112">
        <f>VLOOKUP(Z191,'WRK COMP'!$A$1:$E$17,5,FALSE)</f>
        <v>8.9280000000000002E-3</v>
      </c>
      <c r="AB191" s="76" t="s">
        <v>13</v>
      </c>
      <c r="AC191" s="68">
        <v>0</v>
      </c>
      <c r="AD191" s="68">
        <v>0</v>
      </c>
      <c r="AE191" s="68">
        <v>0</v>
      </c>
      <c r="AF191" s="68">
        <v>0</v>
      </c>
      <c r="AG191" s="68">
        <v>0</v>
      </c>
      <c r="AH191" s="68">
        <v>0</v>
      </c>
      <c r="AI191" s="68">
        <v>0</v>
      </c>
      <c r="AJ191" s="1" t="s">
        <v>14</v>
      </c>
      <c r="AK191" s="10" t="s">
        <v>15</v>
      </c>
      <c r="AL191" s="1" t="s">
        <v>16</v>
      </c>
      <c r="AM191" s="78">
        <f>IF(F191&gt;0.79,IF(ROUNDUP(IF(B191="FS",(V191*HRS!$B$9),(V191*HRS!$L$2))*2,-3)&gt;150000,150000,(ROUNDUP(IF(B191="FS",(V191*HRS!$B$9),(V191*HRS!$L$2))*2,-3))),0)</f>
        <v>0</v>
      </c>
      <c r="AN191" s="188">
        <f t="shared" si="249"/>
        <v>0</v>
      </c>
      <c r="AO191" s="77">
        <f>IF(L191="N",IF(B191="FS",ROUNDUP($V191*HRS!$B$9*'Position Control'!F191,0),ROUNDUP('Position Control'!$V191*HRS!$L$2*'Position Control'!F191,0)),IF('Position Control'!B191="FS",ROUNDUP(('Position Control'!V191*HRS!$B$9*'Position Control'!W191*'Position Control'!F191)+('Position Control'!X191*HRS!$B$9*'Position Control'!Y191*'Position Control'!F191),0),ROUNDUP(('Position Control'!V191*HRS!$L$2*'Position Control'!W191*'Position Control'!F191)+('Position Control'!X191*HRS!$L$2*'Position Control'!Y191*'Position Control'!F191),0)))*'Position Control'!H191</f>
        <v>0</v>
      </c>
      <c r="AP191" s="77">
        <f t="shared" si="250"/>
        <v>0</v>
      </c>
      <c r="AQ191" s="77">
        <f t="shared" si="251"/>
        <v>0</v>
      </c>
      <c r="AR191" s="77">
        <f t="shared" si="252"/>
        <v>0</v>
      </c>
      <c r="AS191" s="77">
        <v>0</v>
      </c>
      <c r="AT191" s="79">
        <f t="shared" si="253"/>
        <v>0</v>
      </c>
      <c r="AU191" s="77">
        <f t="shared" si="254"/>
        <v>0</v>
      </c>
      <c r="AV191" s="77">
        <v>0</v>
      </c>
      <c r="AW191" s="77">
        <f t="shared" si="255"/>
        <v>0</v>
      </c>
      <c r="AX191" s="77">
        <f t="shared" si="256"/>
        <v>0</v>
      </c>
      <c r="AY191" s="77">
        <f t="shared" si="257"/>
        <v>0</v>
      </c>
      <c r="AZ191" s="77">
        <f t="shared" si="258"/>
        <v>0</v>
      </c>
      <c r="BA191" s="77">
        <f t="shared" si="259"/>
        <v>0</v>
      </c>
      <c r="BB191" s="77">
        <f t="shared" si="260"/>
        <v>0</v>
      </c>
      <c r="BC191" s="77">
        <f t="shared" si="221"/>
        <v>0</v>
      </c>
      <c r="BD191" s="77">
        <f>IF($S191&gt;=12,IF(($S191*5)&gt;1200,1200,$S191*5),0)*$H191</f>
        <v>0</v>
      </c>
      <c r="BE191" s="77">
        <v>0</v>
      </c>
      <c r="BF191" s="77">
        <f t="shared" si="261"/>
        <v>0</v>
      </c>
      <c r="BG191" s="77">
        <f>VLOOKUP($AJ191,BENE!$I$2:$N$9,6,FALSE)*'Position Control'!$H191</f>
        <v>0</v>
      </c>
      <c r="BH191" s="77">
        <f>VLOOKUP($AK191,BENE!$A$2:$F$19,6,FALSE)*'Position Control'!$H191</f>
        <v>0</v>
      </c>
      <c r="BI191" s="77">
        <f>VLOOKUP($AK191,BENE!$A$2:$G$19,7,FALSE)*'Position Control'!$H191</f>
        <v>0</v>
      </c>
      <c r="BJ191" s="77">
        <f>VLOOKUP($AL191,BENE!$P$2:$S$6,4,FALSE)*'Position Control'!$H191</f>
        <v>0</v>
      </c>
      <c r="BK191" s="77">
        <f>IF($F191&gt;HRS!$H$2,ROUNDUP(((($AN191+$BE191)*$BK$3)/12*9)+(($AN191+$BE191)*HRS!$B$10/12*3),0),0)*$H191</f>
        <v>0</v>
      </c>
      <c r="BL191" s="80">
        <f t="shared" si="262"/>
        <v>0</v>
      </c>
      <c r="BM191" s="77">
        <f t="shared" si="263"/>
        <v>0</v>
      </c>
      <c r="BN191" s="77">
        <f t="shared" si="264"/>
        <v>0</v>
      </c>
      <c r="BO191" s="77">
        <f t="shared" si="265"/>
        <v>0</v>
      </c>
      <c r="BP191" s="77">
        <f t="shared" si="266"/>
        <v>0</v>
      </c>
      <c r="BQ191" s="77">
        <v>0</v>
      </c>
      <c r="BR191" s="80">
        <f t="shared" si="267"/>
        <v>0</v>
      </c>
    </row>
    <row r="192" spans="1:70" outlineLevel="1" x14ac:dyDescent="0.35">
      <c r="A192" s="1" t="s">
        <v>6</v>
      </c>
      <c r="B192" s="1" t="s">
        <v>7</v>
      </c>
      <c r="C192" s="1" t="s">
        <v>8</v>
      </c>
      <c r="D192" s="1" t="s">
        <v>202</v>
      </c>
      <c r="E192" s="1" t="s">
        <v>216</v>
      </c>
      <c r="F192" s="2">
        <v>1</v>
      </c>
      <c r="G192" s="66">
        <v>1</v>
      </c>
      <c r="H192" s="66">
        <v>1</v>
      </c>
      <c r="I192" s="1" t="s">
        <v>611</v>
      </c>
      <c r="J192" s="1" t="s">
        <v>612</v>
      </c>
      <c r="K192" s="1" t="s">
        <v>218</v>
      </c>
      <c r="L192" s="76" t="str">
        <f>IF(M192="","N",STEP!$J$22)</f>
        <v>N</v>
      </c>
      <c r="M192" s="1" t="s">
        <v>11</v>
      </c>
      <c r="N192" s="1" t="s">
        <v>11</v>
      </c>
      <c r="O192" s="1" t="s">
        <v>11</v>
      </c>
      <c r="P192" s="1"/>
      <c r="Q192" s="185">
        <v>19960925</v>
      </c>
      <c r="R192" s="196">
        <v>36063</v>
      </c>
      <c r="S192" s="197">
        <f t="shared" si="247"/>
        <v>288</v>
      </c>
      <c r="T192" s="66">
        <f t="shared" si="248"/>
        <v>25</v>
      </c>
      <c r="U192" s="65" t="s">
        <v>11</v>
      </c>
      <c r="V192" s="70">
        <v>23.227900000000002</v>
      </c>
      <c r="W192" s="74" t="str">
        <f t="shared" si="219"/>
        <v/>
      </c>
      <c r="X192" s="70" t="str" cm="1">
        <f t="array" ref="X192">IF(U192="","",INDEX(STEP!$C:$C,MATCH('Position Control'!M192&amp;'Position Control'!P192,STEP!$A:$A&amp;STEP!$B:$B,0)))</f>
        <v/>
      </c>
      <c r="Y192" s="74" t="str">
        <f>IF(L192="Y",(20221001-U192)/10000,"")</f>
        <v/>
      </c>
      <c r="Z192" s="1">
        <v>9015</v>
      </c>
      <c r="AA192" s="112">
        <f>VLOOKUP(Z192,'WRK COMP'!$A$1:$E$17,5,FALSE)</f>
        <v>1.3690000000000001E-2</v>
      </c>
      <c r="AB192" s="76" t="s">
        <v>13</v>
      </c>
      <c r="AC192" s="68">
        <v>0</v>
      </c>
      <c r="AD192" s="68">
        <v>0</v>
      </c>
      <c r="AE192" s="68">
        <v>0</v>
      </c>
      <c r="AF192" s="68">
        <v>0</v>
      </c>
      <c r="AG192" s="68">
        <v>0</v>
      </c>
      <c r="AH192" s="68">
        <v>0</v>
      </c>
      <c r="AI192" s="68">
        <v>0</v>
      </c>
      <c r="AJ192" s="1" t="s">
        <v>18</v>
      </c>
      <c r="AK192" s="1" t="s">
        <v>19</v>
      </c>
      <c r="AL192" s="10" t="s">
        <v>49</v>
      </c>
      <c r="AM192" s="78">
        <f>IF(F192&gt;0.79,IF(ROUNDUP(IF(B192="FS",(V192*HRS!$B$9),(V192*HRS!$L$2))*2,-3)&gt;150000,150000,(ROUNDUP(IF(B192="FS",(V192*HRS!$B$9),(V192*HRS!$L$2))*2,-3))),0)</f>
        <v>97000</v>
      </c>
      <c r="AN192" s="188">
        <f t="shared" si="249"/>
        <v>48315</v>
      </c>
      <c r="AO192" s="77">
        <f>IF(L192="N",IF(B192="FS",ROUNDUP($V192*HRS!$B$9*'Position Control'!F192,0),ROUNDUP('Position Control'!$V192*HRS!$L$2*'Position Control'!F192,0)),IF('Position Control'!B192="FS",ROUNDUP(('Position Control'!V192*HRS!$B$9*'Position Control'!W192*'Position Control'!F192)+('Position Control'!X192*HRS!$B$9*'Position Control'!Y192*'Position Control'!F192),0),ROUNDUP(('Position Control'!V192*HRS!$L$2*'Position Control'!W192*'Position Control'!F192)+('Position Control'!X192*HRS!$L$2*'Position Control'!Y192*'Position Control'!F192),0)))*'Position Control'!H192</f>
        <v>48315</v>
      </c>
      <c r="AP192" s="77">
        <f t="shared" si="250"/>
        <v>0</v>
      </c>
      <c r="AQ192" s="77">
        <f t="shared" si="251"/>
        <v>0</v>
      </c>
      <c r="AR192" s="77">
        <f t="shared" si="252"/>
        <v>0</v>
      </c>
      <c r="AS192" s="77">
        <v>0</v>
      </c>
      <c r="AT192" s="79">
        <f t="shared" si="253"/>
        <v>0</v>
      </c>
      <c r="AU192" s="77">
        <f t="shared" si="254"/>
        <v>0</v>
      </c>
      <c r="AV192" s="77">
        <v>0</v>
      </c>
      <c r="AW192" s="77">
        <f t="shared" si="255"/>
        <v>0</v>
      </c>
      <c r="AX192" s="77">
        <f t="shared" si="256"/>
        <v>0</v>
      </c>
      <c r="AY192" s="77">
        <f t="shared" si="257"/>
        <v>0</v>
      </c>
      <c r="AZ192" s="77">
        <f t="shared" si="258"/>
        <v>0</v>
      </c>
      <c r="BA192" s="77">
        <f t="shared" si="259"/>
        <v>0</v>
      </c>
      <c r="BB192" s="77">
        <f t="shared" si="260"/>
        <v>0</v>
      </c>
      <c r="BC192" s="77">
        <f t="shared" si="221"/>
        <v>0</v>
      </c>
      <c r="BD192" s="77">
        <f t="shared" ref="BD192:BD193" si="268">IF($S192&gt;=12,IF(($S192*5)&gt;1200,1200,$S192*5),0)*$H192</f>
        <v>1200</v>
      </c>
      <c r="BE192" s="77">
        <v>0</v>
      </c>
      <c r="BF192" s="77">
        <f t="shared" si="261"/>
        <v>116.4</v>
      </c>
      <c r="BG192" s="77">
        <f>VLOOKUP($AJ192,BENE!$I$2:$N$9,6,FALSE)*'Position Control'!$H192</f>
        <v>760</v>
      </c>
      <c r="BH192" s="77">
        <f>VLOOKUP($AK192,BENE!$A$2:$F$19,6,FALSE)*'Position Control'!$H192</f>
        <v>20439</v>
      </c>
      <c r="BI192" s="77">
        <f>VLOOKUP($AK192,BENE!$A$2:$G$19,7,FALSE)*'Position Control'!$H192</f>
        <v>0</v>
      </c>
      <c r="BJ192" s="77">
        <f>VLOOKUP($AL192,BENE!$P$2:$S$6,4,FALSE)*'Position Control'!$H192</f>
        <v>0</v>
      </c>
      <c r="BK192" s="77">
        <f>IF($F192&gt;HRS!$H$2,ROUNDUP(((($AN192+$BE192)*$BK$3)/12*9)+(($AN192+$BE192)*HRS!$B$10/12*3),0),0)*$H192</f>
        <v>8146</v>
      </c>
      <c r="BL192" s="80">
        <f t="shared" si="262"/>
        <v>662</v>
      </c>
      <c r="BM192" s="77">
        <f t="shared" si="263"/>
        <v>144</v>
      </c>
      <c r="BN192" s="77">
        <f t="shared" si="264"/>
        <v>701</v>
      </c>
      <c r="BO192" s="77">
        <f t="shared" si="265"/>
        <v>87</v>
      </c>
      <c r="BP192" s="77">
        <f t="shared" si="266"/>
        <v>2000</v>
      </c>
      <c r="BQ192" s="77">
        <v>0</v>
      </c>
      <c r="BR192" s="80">
        <f t="shared" si="267"/>
        <v>82570.399999999994</v>
      </c>
    </row>
    <row r="193" spans="1:70" outlineLevel="1" x14ac:dyDescent="0.35">
      <c r="A193" s="1" t="s">
        <v>6</v>
      </c>
      <c r="B193" s="1" t="s">
        <v>7</v>
      </c>
      <c r="C193" s="1" t="s">
        <v>8</v>
      </c>
      <c r="D193" s="1" t="s">
        <v>202</v>
      </c>
      <c r="E193" s="1" t="s">
        <v>216</v>
      </c>
      <c r="F193" s="2">
        <v>1</v>
      </c>
      <c r="G193" s="66">
        <v>1</v>
      </c>
      <c r="H193" s="66">
        <v>1</v>
      </c>
      <c r="I193" s="1" t="s">
        <v>611</v>
      </c>
      <c r="J193" s="1" t="s">
        <v>612</v>
      </c>
      <c r="K193" s="1" t="s">
        <v>223</v>
      </c>
      <c r="L193" s="76" t="str">
        <f>IF(M193="","N",STEP!$J$22)</f>
        <v>N</v>
      </c>
      <c r="M193" s="1" t="s">
        <v>11</v>
      </c>
      <c r="N193" s="1" t="s">
        <v>11</v>
      </c>
      <c r="O193" s="1" t="s">
        <v>11</v>
      </c>
      <c r="P193" s="1"/>
      <c r="Q193" s="185">
        <v>20140203</v>
      </c>
      <c r="R193" s="196">
        <v>41673</v>
      </c>
      <c r="S193" s="197">
        <f t="shared" si="247"/>
        <v>103</v>
      </c>
      <c r="T193" s="66">
        <f t="shared" si="248"/>
        <v>9</v>
      </c>
      <c r="U193" s="65" t="s">
        <v>11</v>
      </c>
      <c r="V193" s="70">
        <v>18.245899999999999</v>
      </c>
      <c r="W193" s="74" t="str">
        <f t="shared" si="219"/>
        <v/>
      </c>
      <c r="X193" s="70" t="str" cm="1">
        <f t="array" ref="X193">IF(U193="","",INDEX(STEP!$C:$C,MATCH('Position Control'!M193&amp;'Position Control'!P193,STEP!$A:$A&amp;STEP!$B:$B,0)))</f>
        <v/>
      </c>
      <c r="Y193" s="74" t="str">
        <f>IF(L193="Y",(20221001-U193)/10000,"")</f>
        <v/>
      </c>
      <c r="Z193" s="1">
        <v>8810</v>
      </c>
      <c r="AA193" s="112">
        <f>VLOOKUP(Z193,'WRK COMP'!$A$1:$E$17,5,FALSE)</f>
        <v>1.0169999999999999E-3</v>
      </c>
      <c r="AB193" s="76" t="s">
        <v>13</v>
      </c>
      <c r="AC193" s="68">
        <v>0</v>
      </c>
      <c r="AD193" s="68">
        <v>0</v>
      </c>
      <c r="AE193" s="68">
        <v>0</v>
      </c>
      <c r="AF193" s="68">
        <v>0</v>
      </c>
      <c r="AG193" s="68">
        <v>0</v>
      </c>
      <c r="AH193" s="68">
        <v>0</v>
      </c>
      <c r="AI193" s="68">
        <v>0</v>
      </c>
      <c r="AJ193" s="9" t="s">
        <v>49</v>
      </c>
      <c r="AK193" s="1" t="s">
        <v>24</v>
      </c>
      <c r="AL193" s="10" t="s">
        <v>49</v>
      </c>
      <c r="AM193" s="78">
        <f>IF(F193&gt;0.79,IF(ROUNDUP(IF(B193="FS",(V193*HRS!$B$9),(V193*HRS!$L$2))*2,-3)&gt;150000,150000,(ROUNDUP(IF(B193="FS",(V193*HRS!$B$9),(V193*HRS!$L$2))*2,-3))),0)</f>
        <v>76000</v>
      </c>
      <c r="AN193" s="188">
        <f t="shared" si="249"/>
        <v>37952</v>
      </c>
      <c r="AO193" s="77">
        <f>IF(L193="N",IF(B193="FS",ROUNDUP($V193*HRS!$B$9*'Position Control'!F193,0),ROUNDUP('Position Control'!$V193*HRS!$L$2*'Position Control'!F193,0)),IF('Position Control'!B193="FS",ROUNDUP(('Position Control'!V193*HRS!$B$9*'Position Control'!W193*'Position Control'!F193)+('Position Control'!X193*HRS!$B$9*'Position Control'!Y193*'Position Control'!F193),0),ROUNDUP(('Position Control'!V193*HRS!$L$2*'Position Control'!W193*'Position Control'!F193)+('Position Control'!X193*HRS!$L$2*'Position Control'!Y193*'Position Control'!F193),0)))*'Position Control'!H193</f>
        <v>37952</v>
      </c>
      <c r="AP193" s="77">
        <f t="shared" si="250"/>
        <v>0</v>
      </c>
      <c r="AQ193" s="77">
        <f t="shared" si="251"/>
        <v>0</v>
      </c>
      <c r="AR193" s="77">
        <f t="shared" si="252"/>
        <v>0</v>
      </c>
      <c r="AS193" s="77">
        <v>0</v>
      </c>
      <c r="AT193" s="79">
        <f t="shared" si="253"/>
        <v>0</v>
      </c>
      <c r="AU193" s="77">
        <f t="shared" si="254"/>
        <v>0</v>
      </c>
      <c r="AV193" s="77">
        <v>0</v>
      </c>
      <c r="AW193" s="77">
        <f t="shared" si="255"/>
        <v>0</v>
      </c>
      <c r="AX193" s="77">
        <f t="shared" si="256"/>
        <v>0</v>
      </c>
      <c r="AY193" s="77">
        <f t="shared" si="257"/>
        <v>0</v>
      </c>
      <c r="AZ193" s="77">
        <f t="shared" si="258"/>
        <v>0</v>
      </c>
      <c r="BA193" s="77">
        <f t="shared" si="259"/>
        <v>0</v>
      </c>
      <c r="BB193" s="77">
        <f t="shared" si="260"/>
        <v>0</v>
      </c>
      <c r="BC193" s="77">
        <f t="shared" si="221"/>
        <v>0</v>
      </c>
      <c r="BD193" s="77">
        <f t="shared" si="268"/>
        <v>515</v>
      </c>
      <c r="BE193" s="77">
        <v>0</v>
      </c>
      <c r="BF193" s="77">
        <f t="shared" si="261"/>
        <v>91.2</v>
      </c>
      <c r="BG193" s="77">
        <f>VLOOKUP($AJ193,BENE!$I$2:$N$9,6,FALSE)*'Position Control'!$H193</f>
        <v>0</v>
      </c>
      <c r="BH193" s="77">
        <f>VLOOKUP($AK193,BENE!$A$2:$F$19,6,FALSE)*'Position Control'!$H193</f>
        <v>7234</v>
      </c>
      <c r="BI193" s="77">
        <f>VLOOKUP($AK193,BENE!$A$2:$G$19,7,FALSE)*'Position Control'!$H193</f>
        <v>0</v>
      </c>
      <c r="BJ193" s="77">
        <f>VLOOKUP($AL193,BENE!$P$2:$S$6,4,FALSE)*'Position Control'!$H193</f>
        <v>0</v>
      </c>
      <c r="BK193" s="77">
        <f>IF($F193&gt;HRS!$H$2,ROUNDUP(((($AN193+$BE193)*$BK$3)/12*9)+(($AN193+$BE193)*HRS!$B$10/12*3),0),0)*$H193</f>
        <v>6399</v>
      </c>
      <c r="BL193" s="80">
        <f t="shared" si="262"/>
        <v>39</v>
      </c>
      <c r="BM193" s="77">
        <f t="shared" si="263"/>
        <v>144</v>
      </c>
      <c r="BN193" s="77">
        <f t="shared" si="264"/>
        <v>551</v>
      </c>
      <c r="BO193" s="77">
        <f t="shared" si="265"/>
        <v>68</v>
      </c>
      <c r="BP193" s="77">
        <f t="shared" si="266"/>
        <v>0</v>
      </c>
      <c r="BQ193" s="77">
        <v>0</v>
      </c>
      <c r="BR193" s="80">
        <f t="shared" si="267"/>
        <v>52993.2</v>
      </c>
    </row>
    <row r="194" spans="1:70" outlineLevel="1" x14ac:dyDescent="0.35">
      <c r="A194" s="1" t="s">
        <v>70</v>
      </c>
      <c r="B194" s="1" t="s">
        <v>221</v>
      </c>
      <c r="C194" s="1" t="s">
        <v>8</v>
      </c>
      <c r="D194" s="1" t="s">
        <v>202</v>
      </c>
      <c r="E194" s="1" t="s">
        <v>216</v>
      </c>
      <c r="F194" s="2">
        <v>0.63</v>
      </c>
      <c r="G194" s="66">
        <v>0.63</v>
      </c>
      <c r="H194" s="66">
        <v>1</v>
      </c>
      <c r="I194" s="1" t="s">
        <v>411</v>
      </c>
      <c r="J194" s="1" t="s">
        <v>408</v>
      </c>
      <c r="K194" s="1" t="s">
        <v>222</v>
      </c>
      <c r="L194" s="76" t="str">
        <f>IF(M194="","N",STEP!$J$22)</f>
        <v>N</v>
      </c>
      <c r="M194" s="1" t="s">
        <v>11</v>
      </c>
      <c r="N194" s="1" t="s">
        <v>11</v>
      </c>
      <c r="O194" s="1" t="s">
        <v>11</v>
      </c>
      <c r="P194" s="1"/>
      <c r="Q194" s="185">
        <v>20221002</v>
      </c>
      <c r="R194" s="196">
        <v>44836</v>
      </c>
      <c r="S194" s="197">
        <f t="shared" si="247"/>
        <v>0</v>
      </c>
      <c r="T194" s="66">
        <f t="shared" si="248"/>
        <v>0</v>
      </c>
      <c r="U194" s="65" t="s">
        <v>11</v>
      </c>
      <c r="V194" s="70">
        <v>14.6473</v>
      </c>
      <c r="W194" s="74" t="str">
        <f t="shared" si="219"/>
        <v/>
      </c>
      <c r="X194" s="70" t="str" cm="1">
        <f t="array" ref="X194">IF(U194="","",INDEX(STEP!$C:$C,MATCH('Position Control'!M194&amp;'Position Control'!P194,STEP!$A:$A&amp;STEP!$B:$B,0)))</f>
        <v/>
      </c>
      <c r="Y194" s="74" t="str">
        <f>IF(L194="Y",(20221001-U194)/10000,"")</f>
        <v/>
      </c>
      <c r="Z194" s="1">
        <v>9102</v>
      </c>
      <c r="AA194" s="112">
        <f>VLOOKUP(Z194,'WRK COMP'!$A$1:$E$17,5,FALSE)</f>
        <v>8.9280000000000002E-3</v>
      </c>
      <c r="AB194" s="76" t="s">
        <v>13</v>
      </c>
      <c r="AC194" s="68">
        <v>0</v>
      </c>
      <c r="AD194" s="68">
        <v>0</v>
      </c>
      <c r="AE194" s="68">
        <v>0</v>
      </c>
      <c r="AF194" s="68">
        <v>0</v>
      </c>
      <c r="AG194" s="68">
        <v>0</v>
      </c>
      <c r="AH194" s="68">
        <v>0</v>
      </c>
      <c r="AI194" s="68">
        <v>0</v>
      </c>
      <c r="AJ194" s="10" t="s">
        <v>49</v>
      </c>
      <c r="AK194" s="10" t="s">
        <v>49</v>
      </c>
      <c r="AL194" s="10" t="s">
        <v>49</v>
      </c>
      <c r="AM194" s="78">
        <f>IF(F194&gt;0.79,IF(ROUNDUP(IF(B194="FS",(V194*HRS!$B$9),(V194*HRS!$L$2))*2,-3)&gt;150000,150000,(ROUNDUP(IF(B194="FS",(V194*HRS!$B$9),(V194*HRS!$L$2))*2,-3))),0)</f>
        <v>0</v>
      </c>
      <c r="AN194" s="188">
        <f t="shared" si="249"/>
        <v>19194</v>
      </c>
      <c r="AO194" s="77">
        <f>IF(L194="N",IF(B194="FS",ROUNDUP($V194*HRS!$B$9*'Position Control'!F194,0),ROUNDUP('Position Control'!$V194*HRS!$L$2*'Position Control'!F194,0)),IF('Position Control'!B194="FS",ROUNDUP(('Position Control'!V194*HRS!$B$9*'Position Control'!W194*'Position Control'!F194)+('Position Control'!X194*HRS!$B$9*'Position Control'!Y194*'Position Control'!F194),0),ROUNDUP(('Position Control'!V194*HRS!$L$2*'Position Control'!W194*'Position Control'!F194)+('Position Control'!X194*HRS!$L$2*'Position Control'!Y194*'Position Control'!F194),0)))*'Position Control'!H194</f>
        <v>19194</v>
      </c>
      <c r="AP194" s="77">
        <f t="shared" si="250"/>
        <v>0</v>
      </c>
      <c r="AQ194" s="77">
        <f t="shared" si="251"/>
        <v>0</v>
      </c>
      <c r="AR194" s="77">
        <f t="shared" si="252"/>
        <v>0</v>
      </c>
      <c r="AS194" s="77">
        <v>0</v>
      </c>
      <c r="AT194" s="79">
        <f t="shared" si="253"/>
        <v>0</v>
      </c>
      <c r="AU194" s="77">
        <f t="shared" si="254"/>
        <v>0</v>
      </c>
      <c r="AV194" s="77">
        <v>0</v>
      </c>
      <c r="AW194" s="77">
        <f t="shared" si="255"/>
        <v>0</v>
      </c>
      <c r="AX194" s="77">
        <f t="shared" si="256"/>
        <v>0</v>
      </c>
      <c r="AY194" s="77">
        <f t="shared" si="257"/>
        <v>0</v>
      </c>
      <c r="AZ194" s="77">
        <f t="shared" si="258"/>
        <v>0</v>
      </c>
      <c r="BA194" s="77">
        <f t="shared" si="259"/>
        <v>0</v>
      </c>
      <c r="BB194" s="77">
        <f t="shared" si="260"/>
        <v>0</v>
      </c>
      <c r="BC194" s="77">
        <f t="shared" si="221"/>
        <v>0</v>
      </c>
      <c r="BD194" s="77">
        <f t="shared" ref="BD194:BD211" si="269">IF($S194&gt;=12,IF(($S194*5)&gt;1200,1200,$S194*5),0)*$H194</f>
        <v>0</v>
      </c>
      <c r="BE194" s="77">
        <v>0</v>
      </c>
      <c r="BF194" s="77">
        <f t="shared" si="261"/>
        <v>0</v>
      </c>
      <c r="BG194" s="77">
        <f>VLOOKUP($AJ194,BENE!$I$2:$N$9,6,FALSE)*'Position Control'!$H194</f>
        <v>0</v>
      </c>
      <c r="BH194" s="77">
        <f>VLOOKUP($AK194,BENE!$A$2:$F$19,6,FALSE)*'Position Control'!$H194</f>
        <v>0</v>
      </c>
      <c r="BI194" s="77">
        <f>VLOOKUP($AK194,BENE!$A$2:$G$19,7,FALSE)*'Position Control'!$H194</f>
        <v>0</v>
      </c>
      <c r="BJ194" s="77">
        <f>VLOOKUP($AL194,BENE!$P$2:$S$6,4,FALSE)*'Position Control'!$H194</f>
        <v>0</v>
      </c>
      <c r="BK194" s="77">
        <f>IF($F194&gt;HRS!$H$2,ROUNDUP(((($AN194+$BE194)*$BK$3)/12*9)+(($AN194+$BE194)*HRS!$B$10/12*3),0),0)*$H194</f>
        <v>3237</v>
      </c>
      <c r="BL194" s="80">
        <f t="shared" si="262"/>
        <v>172</v>
      </c>
      <c r="BM194" s="77">
        <f t="shared" si="263"/>
        <v>144</v>
      </c>
      <c r="BN194" s="77">
        <f t="shared" si="264"/>
        <v>279</v>
      </c>
      <c r="BO194" s="77">
        <f t="shared" si="265"/>
        <v>35</v>
      </c>
      <c r="BP194" s="77">
        <f t="shared" si="266"/>
        <v>0</v>
      </c>
      <c r="BQ194" s="77">
        <v>0</v>
      </c>
      <c r="BR194" s="80">
        <f t="shared" si="267"/>
        <v>23061</v>
      </c>
    </row>
    <row r="195" spans="1:70" outlineLevel="1" x14ac:dyDescent="0.35">
      <c r="A195" s="1" t="s">
        <v>70</v>
      </c>
      <c r="B195" s="1" t="s">
        <v>577</v>
      </c>
      <c r="C195" s="1" t="s">
        <v>8</v>
      </c>
      <c r="D195" s="1" t="s">
        <v>202</v>
      </c>
      <c r="E195" s="1" t="s">
        <v>216</v>
      </c>
      <c r="F195" s="2">
        <v>0</v>
      </c>
      <c r="G195" s="66">
        <v>0.45</v>
      </c>
      <c r="H195" s="66">
        <v>0</v>
      </c>
      <c r="I195" s="10" t="s">
        <v>407</v>
      </c>
      <c r="J195" s="10" t="s">
        <v>408</v>
      </c>
      <c r="K195" s="10" t="s">
        <v>580</v>
      </c>
      <c r="L195" s="76" t="str">
        <f>IF(M195="","N",STEP!$J$22)</f>
        <v>N</v>
      </c>
      <c r="M195" s="1"/>
      <c r="N195" s="1"/>
      <c r="O195" s="1"/>
      <c r="P195" s="1"/>
      <c r="Q195" s="185">
        <v>20221002</v>
      </c>
      <c r="R195" s="196">
        <v>44836</v>
      </c>
      <c r="S195" s="197">
        <f t="shared" si="247"/>
        <v>0</v>
      </c>
      <c r="T195" s="66">
        <f t="shared" si="248"/>
        <v>0</v>
      </c>
      <c r="U195" s="65"/>
      <c r="V195" s="70">
        <v>14.6473</v>
      </c>
      <c r="W195" s="74"/>
      <c r="X195" s="70"/>
      <c r="Y195" s="74"/>
      <c r="Z195" s="1">
        <v>9102</v>
      </c>
      <c r="AA195" s="112">
        <f>VLOOKUP(Z195,'WRK COMP'!$A$1:$E$17,5,FALSE)</f>
        <v>8.9280000000000002E-3</v>
      </c>
      <c r="AB195" s="76" t="s">
        <v>13</v>
      </c>
      <c r="AC195" s="68">
        <v>0</v>
      </c>
      <c r="AD195" s="68">
        <v>0</v>
      </c>
      <c r="AE195" s="68">
        <v>0</v>
      </c>
      <c r="AF195" s="68">
        <v>0</v>
      </c>
      <c r="AG195" s="68">
        <v>0</v>
      </c>
      <c r="AH195" s="68">
        <v>0</v>
      </c>
      <c r="AI195" s="68">
        <v>0</v>
      </c>
      <c r="AJ195" s="10" t="s">
        <v>49</v>
      </c>
      <c r="AK195" s="10" t="s">
        <v>49</v>
      </c>
      <c r="AL195" s="10" t="s">
        <v>49</v>
      </c>
      <c r="AM195" s="78">
        <f>IF(F195&gt;0.79,IF(ROUNDUP(IF(B195="FS",(V195*HRS!$B$9),(V195*HRS!$L$2))*2,-3)&gt;150000,150000,(ROUNDUP(IF(B195="FS",(V195*HRS!$B$9),(V195*HRS!$L$2))*2,-3))),0)</f>
        <v>0</v>
      </c>
      <c r="AN195" s="188">
        <f t="shared" si="249"/>
        <v>0</v>
      </c>
      <c r="AO195" s="77">
        <f>IF(L195="N",IF(B195="FS",ROUNDUP($V195*HRS!$B$9*'Position Control'!F195,0),ROUNDUP('Position Control'!$V195*HRS!$L$2*'Position Control'!F195,0)),IF('Position Control'!B195="FS",ROUNDUP(('Position Control'!V195*HRS!$B$9*'Position Control'!W195*'Position Control'!F195)+('Position Control'!X195*HRS!$B$9*'Position Control'!Y195*'Position Control'!F195),0),ROUNDUP(('Position Control'!V195*HRS!$L$2*'Position Control'!W195*'Position Control'!F195)+('Position Control'!X195*HRS!$L$2*'Position Control'!Y195*'Position Control'!F195),0)))*'Position Control'!H195</f>
        <v>0</v>
      </c>
      <c r="AP195" s="77">
        <f t="shared" si="250"/>
        <v>0</v>
      </c>
      <c r="AQ195" s="77">
        <f t="shared" si="251"/>
        <v>0</v>
      </c>
      <c r="AR195" s="77">
        <f t="shared" si="252"/>
        <v>0</v>
      </c>
      <c r="AS195" s="77">
        <v>0</v>
      </c>
      <c r="AT195" s="79">
        <f t="shared" si="253"/>
        <v>0</v>
      </c>
      <c r="AU195" s="77">
        <f t="shared" si="254"/>
        <v>0</v>
      </c>
      <c r="AV195" s="77">
        <v>0</v>
      </c>
      <c r="AW195" s="77">
        <f t="shared" si="255"/>
        <v>0</v>
      </c>
      <c r="AX195" s="77">
        <f t="shared" si="256"/>
        <v>0</v>
      </c>
      <c r="AY195" s="77">
        <f t="shared" si="257"/>
        <v>0</v>
      </c>
      <c r="AZ195" s="77">
        <f t="shared" si="258"/>
        <v>0</v>
      </c>
      <c r="BA195" s="77">
        <f t="shared" si="259"/>
        <v>0</v>
      </c>
      <c r="BB195" s="77">
        <f t="shared" si="260"/>
        <v>0</v>
      </c>
      <c r="BC195" s="77">
        <f t="shared" ref="BC195:BC220" si="270">SUM(AX195:BB195)</f>
        <v>0</v>
      </c>
      <c r="BD195" s="77">
        <f t="shared" si="269"/>
        <v>0</v>
      </c>
      <c r="BE195" s="77">
        <v>0</v>
      </c>
      <c r="BF195" s="77">
        <f t="shared" si="261"/>
        <v>0</v>
      </c>
      <c r="BG195" s="77">
        <f>VLOOKUP($AJ195,BENE!$I$2:$N$9,6,FALSE)*'Position Control'!$H195</f>
        <v>0</v>
      </c>
      <c r="BH195" s="77">
        <f>VLOOKUP($AK195,BENE!$A$2:$F$19,6,FALSE)*'Position Control'!$H195</f>
        <v>0</v>
      </c>
      <c r="BI195" s="77">
        <f>VLOOKUP($AK195,BENE!$A$2:$G$19,7,FALSE)*'Position Control'!$H195</f>
        <v>0</v>
      </c>
      <c r="BJ195" s="77">
        <f>VLOOKUP($AL195,BENE!$P$2:$S$6,4,FALSE)*'Position Control'!$H195</f>
        <v>0</v>
      </c>
      <c r="BK195" s="77">
        <f>IF($F195&gt;HRS!$H$2,ROUNDUP(((($AN195+$BE195)*$BK$3)/12*9)+(($AN195+$BE195)*HRS!$B$10/12*3),0),0)*$H195</f>
        <v>0</v>
      </c>
      <c r="BL195" s="80">
        <f t="shared" si="262"/>
        <v>0</v>
      </c>
      <c r="BM195" s="77">
        <f t="shared" si="263"/>
        <v>0</v>
      </c>
      <c r="BN195" s="77">
        <f t="shared" si="264"/>
        <v>0</v>
      </c>
      <c r="BO195" s="77">
        <f t="shared" si="265"/>
        <v>0</v>
      </c>
      <c r="BP195" s="77">
        <f t="shared" si="266"/>
        <v>0</v>
      </c>
      <c r="BQ195" s="77">
        <v>0</v>
      </c>
      <c r="BR195" s="80">
        <f t="shared" si="267"/>
        <v>0</v>
      </c>
    </row>
    <row r="196" spans="1:70" outlineLevel="1" x14ac:dyDescent="0.35">
      <c r="A196" s="1" t="s">
        <v>70</v>
      </c>
      <c r="B196" s="1" t="s">
        <v>578</v>
      </c>
      <c r="C196" s="1" t="s">
        <v>8</v>
      </c>
      <c r="D196" s="1" t="s">
        <v>202</v>
      </c>
      <c r="E196" s="1" t="s">
        <v>216</v>
      </c>
      <c r="F196" s="2">
        <v>0</v>
      </c>
      <c r="G196" s="66">
        <v>0.45</v>
      </c>
      <c r="H196" s="66">
        <v>0</v>
      </c>
      <c r="I196" s="10" t="s">
        <v>407</v>
      </c>
      <c r="J196" s="10" t="s">
        <v>408</v>
      </c>
      <c r="K196" s="10" t="s">
        <v>580</v>
      </c>
      <c r="L196" s="76" t="str">
        <f>IF(M196="","N",STEP!$J$22)</f>
        <v>N</v>
      </c>
      <c r="M196" s="1"/>
      <c r="N196" s="1"/>
      <c r="O196" s="1"/>
      <c r="P196" s="1"/>
      <c r="Q196" s="185">
        <v>20221002</v>
      </c>
      <c r="R196" s="196">
        <v>44836</v>
      </c>
      <c r="S196" s="197">
        <f t="shared" si="247"/>
        <v>0</v>
      </c>
      <c r="T196" s="66">
        <f t="shared" si="248"/>
        <v>0</v>
      </c>
      <c r="U196" s="65"/>
      <c r="V196" s="70">
        <v>14.6473</v>
      </c>
      <c r="W196" s="74"/>
      <c r="X196" s="70"/>
      <c r="Y196" s="74"/>
      <c r="Z196" s="1">
        <v>9102</v>
      </c>
      <c r="AA196" s="112">
        <f>VLOOKUP(Z196,'WRK COMP'!$A$1:$E$17,5,FALSE)</f>
        <v>8.9280000000000002E-3</v>
      </c>
      <c r="AB196" s="76" t="s">
        <v>13</v>
      </c>
      <c r="AC196" s="68">
        <v>0</v>
      </c>
      <c r="AD196" s="68">
        <v>0</v>
      </c>
      <c r="AE196" s="68">
        <v>0</v>
      </c>
      <c r="AF196" s="68">
        <v>0</v>
      </c>
      <c r="AG196" s="68">
        <v>0</v>
      </c>
      <c r="AH196" s="68">
        <v>0</v>
      </c>
      <c r="AI196" s="68">
        <v>0</v>
      </c>
      <c r="AJ196" s="10" t="s">
        <v>49</v>
      </c>
      <c r="AK196" s="10" t="s">
        <v>49</v>
      </c>
      <c r="AL196" s="10" t="s">
        <v>49</v>
      </c>
      <c r="AM196" s="78">
        <f>IF(F196&gt;0.79,IF(ROUNDUP(IF(B196="FS",(V196*HRS!$B$9),(V196*HRS!$L$2))*2,-3)&gt;150000,150000,(ROUNDUP(IF(B196="FS",(V196*HRS!$B$9),(V196*HRS!$L$2))*2,-3))),0)</f>
        <v>0</v>
      </c>
      <c r="AN196" s="188">
        <f t="shared" si="249"/>
        <v>0</v>
      </c>
      <c r="AO196" s="77">
        <f>IF(L196="N",IF(B196="FS",ROUNDUP($V196*HRS!$B$9*'Position Control'!F196,0),ROUNDUP('Position Control'!$V196*HRS!$L$2*'Position Control'!F196,0)),IF('Position Control'!B196="FS",ROUNDUP(('Position Control'!V196*HRS!$B$9*'Position Control'!W196*'Position Control'!F196)+('Position Control'!X196*HRS!$B$9*'Position Control'!Y196*'Position Control'!F196),0),ROUNDUP(('Position Control'!V196*HRS!$L$2*'Position Control'!W196*'Position Control'!F196)+('Position Control'!X196*HRS!$L$2*'Position Control'!Y196*'Position Control'!F196),0)))*'Position Control'!H196</f>
        <v>0</v>
      </c>
      <c r="AP196" s="77">
        <f t="shared" si="250"/>
        <v>0</v>
      </c>
      <c r="AQ196" s="77">
        <f t="shared" si="251"/>
        <v>0</v>
      </c>
      <c r="AR196" s="77">
        <f t="shared" si="252"/>
        <v>0</v>
      </c>
      <c r="AS196" s="77">
        <v>0</v>
      </c>
      <c r="AT196" s="79">
        <f t="shared" si="253"/>
        <v>0</v>
      </c>
      <c r="AU196" s="77">
        <f t="shared" si="254"/>
        <v>0</v>
      </c>
      <c r="AV196" s="77">
        <v>0</v>
      </c>
      <c r="AW196" s="77">
        <f t="shared" si="255"/>
        <v>0</v>
      </c>
      <c r="AX196" s="77">
        <f t="shared" si="256"/>
        <v>0</v>
      </c>
      <c r="AY196" s="77">
        <f t="shared" si="257"/>
        <v>0</v>
      </c>
      <c r="AZ196" s="77">
        <f t="shared" si="258"/>
        <v>0</v>
      </c>
      <c r="BA196" s="77">
        <f t="shared" si="259"/>
        <v>0</v>
      </c>
      <c r="BB196" s="77">
        <f t="shared" si="260"/>
        <v>0</v>
      </c>
      <c r="BC196" s="77">
        <f t="shared" si="270"/>
        <v>0</v>
      </c>
      <c r="BD196" s="77">
        <f t="shared" si="269"/>
        <v>0</v>
      </c>
      <c r="BE196" s="77">
        <v>0</v>
      </c>
      <c r="BF196" s="77">
        <f t="shared" si="261"/>
        <v>0</v>
      </c>
      <c r="BG196" s="77">
        <f>VLOOKUP($AJ196,BENE!$I$2:$N$9,6,FALSE)*'Position Control'!$H196</f>
        <v>0</v>
      </c>
      <c r="BH196" s="77">
        <f>VLOOKUP($AK196,BENE!$A$2:$F$19,6,FALSE)*'Position Control'!$H196</f>
        <v>0</v>
      </c>
      <c r="BI196" s="77">
        <f>VLOOKUP($AK196,BENE!$A$2:$G$19,7,FALSE)*'Position Control'!$H196</f>
        <v>0</v>
      </c>
      <c r="BJ196" s="77">
        <f>VLOOKUP($AL196,BENE!$P$2:$S$6,4,FALSE)*'Position Control'!$H196</f>
        <v>0</v>
      </c>
      <c r="BK196" s="77">
        <f>IF($F196&gt;HRS!$H$2,ROUNDUP(((($AN196+$BE196)*$BK$3)/12*9)+(($AN196+$BE196)*HRS!$B$10/12*3),0),0)*$H196</f>
        <v>0</v>
      </c>
      <c r="BL196" s="80">
        <f t="shared" si="262"/>
        <v>0</v>
      </c>
      <c r="BM196" s="77">
        <f t="shared" si="263"/>
        <v>0</v>
      </c>
      <c r="BN196" s="77">
        <f t="shared" si="264"/>
        <v>0</v>
      </c>
      <c r="BO196" s="77">
        <f t="shared" si="265"/>
        <v>0</v>
      </c>
      <c r="BP196" s="77">
        <f t="shared" si="266"/>
        <v>0</v>
      </c>
      <c r="BQ196" s="77">
        <v>0</v>
      </c>
      <c r="BR196" s="80">
        <f t="shared" si="267"/>
        <v>0</v>
      </c>
    </row>
    <row r="197" spans="1:70" outlineLevel="1" x14ac:dyDescent="0.35">
      <c r="A197" s="1" t="s">
        <v>70</v>
      </c>
      <c r="B197" s="1" t="s">
        <v>579</v>
      </c>
      <c r="C197" s="1" t="s">
        <v>8</v>
      </c>
      <c r="D197" s="1" t="s">
        <v>202</v>
      </c>
      <c r="E197" s="1" t="s">
        <v>216</v>
      </c>
      <c r="F197" s="2">
        <v>0</v>
      </c>
      <c r="G197" s="66">
        <v>0.45</v>
      </c>
      <c r="H197" s="66">
        <v>0</v>
      </c>
      <c r="I197" s="10" t="s">
        <v>407</v>
      </c>
      <c r="J197" s="10" t="s">
        <v>408</v>
      </c>
      <c r="K197" s="10" t="s">
        <v>580</v>
      </c>
      <c r="L197" s="76" t="str">
        <f>IF(M197="","N",STEP!$J$22)</f>
        <v>N</v>
      </c>
      <c r="M197" s="1"/>
      <c r="N197" s="1"/>
      <c r="O197" s="1"/>
      <c r="P197" s="1"/>
      <c r="Q197" s="185">
        <v>20221002</v>
      </c>
      <c r="R197" s="196">
        <v>44836</v>
      </c>
      <c r="S197" s="197">
        <f t="shared" si="247"/>
        <v>0</v>
      </c>
      <c r="T197" s="66">
        <f t="shared" si="248"/>
        <v>0</v>
      </c>
      <c r="U197" s="65"/>
      <c r="V197" s="70">
        <v>14.6473</v>
      </c>
      <c r="W197" s="74"/>
      <c r="X197" s="70"/>
      <c r="Y197" s="74"/>
      <c r="Z197" s="1">
        <v>9102</v>
      </c>
      <c r="AA197" s="112">
        <f>VLOOKUP(Z197,'WRK COMP'!$A$1:$E$17,5,FALSE)</f>
        <v>8.9280000000000002E-3</v>
      </c>
      <c r="AB197" s="76" t="s">
        <v>13</v>
      </c>
      <c r="AC197" s="68">
        <v>0</v>
      </c>
      <c r="AD197" s="68">
        <v>0</v>
      </c>
      <c r="AE197" s="68">
        <v>0</v>
      </c>
      <c r="AF197" s="68">
        <v>0</v>
      </c>
      <c r="AG197" s="68">
        <v>0</v>
      </c>
      <c r="AH197" s="68">
        <v>0</v>
      </c>
      <c r="AI197" s="68">
        <v>0</v>
      </c>
      <c r="AJ197" s="10" t="s">
        <v>49</v>
      </c>
      <c r="AK197" s="10" t="s">
        <v>49</v>
      </c>
      <c r="AL197" s="10" t="s">
        <v>49</v>
      </c>
      <c r="AM197" s="78">
        <f>IF(F197&gt;0.79,IF(ROUNDUP(IF(B197="FS",(V197*HRS!$B$9),(V197*HRS!$L$2))*2,-3)&gt;150000,150000,(ROUNDUP(IF(B197="FS",(V197*HRS!$B$9),(V197*HRS!$L$2))*2,-3))),0)</f>
        <v>0</v>
      </c>
      <c r="AN197" s="188">
        <f t="shared" si="249"/>
        <v>0</v>
      </c>
      <c r="AO197" s="77">
        <f>IF(L197="N",IF(B197="FS",ROUNDUP($V197*HRS!$B$9*'Position Control'!F197,0),ROUNDUP('Position Control'!$V197*HRS!$L$2*'Position Control'!F197,0)),IF('Position Control'!B197="FS",ROUNDUP(('Position Control'!V197*HRS!$B$9*'Position Control'!W197*'Position Control'!F197)+('Position Control'!X197*HRS!$B$9*'Position Control'!Y197*'Position Control'!F197),0),ROUNDUP(('Position Control'!V197*HRS!$L$2*'Position Control'!W197*'Position Control'!F197)+('Position Control'!X197*HRS!$L$2*'Position Control'!Y197*'Position Control'!F197),0)))*'Position Control'!H197</f>
        <v>0</v>
      </c>
      <c r="AP197" s="77">
        <f t="shared" si="250"/>
        <v>0</v>
      </c>
      <c r="AQ197" s="77">
        <f t="shared" si="251"/>
        <v>0</v>
      </c>
      <c r="AR197" s="77">
        <f t="shared" si="252"/>
        <v>0</v>
      </c>
      <c r="AS197" s="77">
        <v>0</v>
      </c>
      <c r="AT197" s="79">
        <f t="shared" si="253"/>
        <v>0</v>
      </c>
      <c r="AU197" s="77">
        <f t="shared" si="254"/>
        <v>0</v>
      </c>
      <c r="AV197" s="77">
        <v>0</v>
      </c>
      <c r="AW197" s="77">
        <f t="shared" si="255"/>
        <v>0</v>
      </c>
      <c r="AX197" s="77">
        <f t="shared" si="256"/>
        <v>0</v>
      </c>
      <c r="AY197" s="77">
        <f t="shared" si="257"/>
        <v>0</v>
      </c>
      <c r="AZ197" s="77">
        <f t="shared" si="258"/>
        <v>0</v>
      </c>
      <c r="BA197" s="77">
        <f t="shared" si="259"/>
        <v>0</v>
      </c>
      <c r="BB197" s="77">
        <f t="shared" si="260"/>
        <v>0</v>
      </c>
      <c r="BC197" s="77">
        <f t="shared" si="270"/>
        <v>0</v>
      </c>
      <c r="BD197" s="77">
        <f t="shared" si="269"/>
        <v>0</v>
      </c>
      <c r="BE197" s="77">
        <v>0</v>
      </c>
      <c r="BF197" s="77">
        <f t="shared" si="261"/>
        <v>0</v>
      </c>
      <c r="BG197" s="77">
        <f>VLOOKUP($AJ197,BENE!$I$2:$N$9,6,FALSE)*'Position Control'!$H197</f>
        <v>0</v>
      </c>
      <c r="BH197" s="77">
        <f>VLOOKUP($AK197,BENE!$A$2:$F$19,6,FALSE)*'Position Control'!$H197</f>
        <v>0</v>
      </c>
      <c r="BI197" s="77">
        <f>VLOOKUP($AK197,BENE!$A$2:$G$19,7,FALSE)*'Position Control'!$H197</f>
        <v>0</v>
      </c>
      <c r="BJ197" s="77">
        <f>VLOOKUP($AL197,BENE!$P$2:$S$6,4,FALSE)*'Position Control'!$H197</f>
        <v>0</v>
      </c>
      <c r="BK197" s="77">
        <f>IF($F197&gt;HRS!$H$2,ROUNDUP(((($AN197+$BE197)*$BK$3)/12*9)+(($AN197+$BE197)*HRS!$B$10/12*3),0),0)*$H197</f>
        <v>0</v>
      </c>
      <c r="BL197" s="80">
        <f t="shared" si="262"/>
        <v>0</v>
      </c>
      <c r="BM197" s="77">
        <f t="shared" si="263"/>
        <v>0</v>
      </c>
      <c r="BN197" s="77">
        <f t="shared" si="264"/>
        <v>0</v>
      </c>
      <c r="BO197" s="77">
        <f t="shared" si="265"/>
        <v>0</v>
      </c>
      <c r="BP197" s="77">
        <f t="shared" si="266"/>
        <v>0</v>
      </c>
      <c r="BQ197" s="77">
        <v>0</v>
      </c>
      <c r="BR197" s="80">
        <f t="shared" si="267"/>
        <v>0</v>
      </c>
    </row>
    <row r="198" spans="1:70" outlineLevel="1" x14ac:dyDescent="0.35">
      <c r="A198" s="1" t="s">
        <v>6</v>
      </c>
      <c r="B198" s="1" t="s">
        <v>7</v>
      </c>
      <c r="C198" s="1" t="s">
        <v>8</v>
      </c>
      <c r="D198" s="1" t="s">
        <v>202</v>
      </c>
      <c r="E198" s="1" t="s">
        <v>216</v>
      </c>
      <c r="F198" s="2">
        <v>1</v>
      </c>
      <c r="G198" s="66">
        <v>0.5</v>
      </c>
      <c r="H198" s="66">
        <v>0.5</v>
      </c>
      <c r="I198" s="1" t="s">
        <v>611</v>
      </c>
      <c r="J198" s="1" t="s">
        <v>612</v>
      </c>
      <c r="K198" s="1" t="s">
        <v>220</v>
      </c>
      <c r="L198" s="76" t="str">
        <f>IF(M198="","N",STEP!$J$22)</f>
        <v>N</v>
      </c>
      <c r="M198" s="1" t="s">
        <v>11</v>
      </c>
      <c r="N198" s="1" t="s">
        <v>11</v>
      </c>
      <c r="O198" s="1" t="s">
        <v>11</v>
      </c>
      <c r="P198" s="1"/>
      <c r="Q198" s="185">
        <v>20051219</v>
      </c>
      <c r="R198" s="196">
        <v>38705</v>
      </c>
      <c r="S198" s="197">
        <f t="shared" si="247"/>
        <v>201</v>
      </c>
      <c r="T198" s="66">
        <f t="shared" si="248"/>
        <v>17</v>
      </c>
      <c r="U198" s="65" t="s">
        <v>11</v>
      </c>
      <c r="V198" s="70">
        <v>37.005699999999997</v>
      </c>
      <c r="W198" s="74" t="str">
        <f>IF(U198="","",(1-Y198))</f>
        <v/>
      </c>
      <c r="X198" s="70" t="str" cm="1">
        <f t="array" ref="X198">IF(U198="","",INDEX(STEP!$C:$C,MATCH('Position Control'!M198&amp;'Position Control'!P198,STEP!$A:$A&amp;STEP!$B:$B,0)))</f>
        <v/>
      </c>
      <c r="Y198" s="74" t="str">
        <f>IF(L198="Y",(20221001-U198)/10000,"")</f>
        <v/>
      </c>
      <c r="Z198" s="1">
        <v>9102</v>
      </c>
      <c r="AA198" s="112">
        <f>VLOOKUP(Z198,'WRK COMP'!$A$1:$E$17,5,FALSE)</f>
        <v>8.9280000000000002E-3</v>
      </c>
      <c r="AB198" s="76" t="s">
        <v>13</v>
      </c>
      <c r="AC198" s="68">
        <v>0</v>
      </c>
      <c r="AD198" s="68">
        <v>51.94</v>
      </c>
      <c r="AE198" s="68">
        <v>0</v>
      </c>
      <c r="AF198" s="68">
        <v>0</v>
      </c>
      <c r="AG198" s="68">
        <v>0</v>
      </c>
      <c r="AH198" s="68">
        <v>0</v>
      </c>
      <c r="AI198" s="68">
        <v>0</v>
      </c>
      <c r="AJ198" s="1" t="s">
        <v>14</v>
      </c>
      <c r="AK198" s="1" t="s">
        <v>15</v>
      </c>
      <c r="AL198" s="1" t="s">
        <v>36</v>
      </c>
      <c r="AM198" s="78">
        <f>IF(F198&gt;0.79,IF(ROUNDUP(IF(B198="FS",(V198*HRS!$B$9),(V198*HRS!$L$2))*2,-3)&gt;150000,150000,(ROUNDUP(IF(B198="FS",(V198*HRS!$B$9),(V198*HRS!$L$2))*2,-3))),0)</f>
        <v>150000</v>
      </c>
      <c r="AN198" s="188">
        <f t="shared" si="249"/>
        <v>39836.5</v>
      </c>
      <c r="AO198" s="77">
        <f>IF(L198="N",IF(B198="FS",ROUNDUP($V198*HRS!$B$9*'Position Control'!F198,0),ROUNDUP('Position Control'!$V198*HRS!$L$2*'Position Control'!F198,0)),IF('Position Control'!B198="FS",ROUNDUP(('Position Control'!V198*HRS!$B$9*'Position Control'!W198*'Position Control'!F198)+('Position Control'!X198*HRS!$B$9*'Position Control'!Y198*'Position Control'!F198),0),ROUNDUP(('Position Control'!V198*HRS!$L$2*'Position Control'!W198*'Position Control'!F198)+('Position Control'!X198*HRS!$L$2*'Position Control'!Y198*'Position Control'!F198),0)))*'Position Control'!H198</f>
        <v>38486</v>
      </c>
      <c r="AP198" s="77">
        <f t="shared" si="250"/>
        <v>0</v>
      </c>
      <c r="AQ198" s="77">
        <f t="shared" si="251"/>
        <v>1350.5</v>
      </c>
      <c r="AR198" s="77">
        <f t="shared" si="252"/>
        <v>0</v>
      </c>
      <c r="AS198" s="77">
        <v>0</v>
      </c>
      <c r="AT198" s="79">
        <f t="shared" si="253"/>
        <v>0</v>
      </c>
      <c r="AU198" s="77">
        <f t="shared" si="254"/>
        <v>0</v>
      </c>
      <c r="AV198" s="77">
        <v>0</v>
      </c>
      <c r="AW198" s="77">
        <f t="shared" si="255"/>
        <v>0</v>
      </c>
      <c r="AX198" s="77">
        <f t="shared" si="256"/>
        <v>0</v>
      </c>
      <c r="AY198" s="77">
        <f t="shared" si="257"/>
        <v>0</v>
      </c>
      <c r="AZ198" s="77">
        <f t="shared" si="258"/>
        <v>0</v>
      </c>
      <c r="BA198" s="77">
        <f t="shared" si="259"/>
        <v>0</v>
      </c>
      <c r="BB198" s="77">
        <f t="shared" si="260"/>
        <v>0</v>
      </c>
      <c r="BC198" s="77">
        <f t="shared" si="270"/>
        <v>0</v>
      </c>
      <c r="BD198" s="77">
        <f t="shared" si="269"/>
        <v>502.5</v>
      </c>
      <c r="BE198" s="77">
        <v>0</v>
      </c>
      <c r="BF198" s="77">
        <f t="shared" si="261"/>
        <v>90</v>
      </c>
      <c r="BG198" s="77">
        <f>VLOOKUP($AJ198,BENE!$I$2:$N$9,6,FALSE)*'Position Control'!$H198</f>
        <v>194.5</v>
      </c>
      <c r="BH198" s="77">
        <f>VLOOKUP($AK198,BENE!$A$2:$F$19,6,FALSE)*'Position Control'!$H198</f>
        <v>3071</v>
      </c>
      <c r="BI198" s="77">
        <f>VLOOKUP($AK198,BENE!$A$2:$G$19,7,FALSE)*'Position Control'!$H198</f>
        <v>500</v>
      </c>
      <c r="BJ198" s="77">
        <f>VLOOKUP($AL198,BENE!$P$2:$S$6,4,FALSE)*'Position Control'!$H198</f>
        <v>156</v>
      </c>
      <c r="BK198" s="77">
        <f>IF($F198&gt;HRS!$H$2,ROUNDUP(((($AN198+$BE198)*$BK$3)/12*9)+(($AN198+$BE198)*HRS!$B$10/12*3),0),0)*$H198</f>
        <v>3358.5</v>
      </c>
      <c r="BL198" s="80">
        <f t="shared" si="262"/>
        <v>178</v>
      </c>
      <c r="BM198" s="77">
        <f t="shared" si="263"/>
        <v>72</v>
      </c>
      <c r="BN198" s="77">
        <f t="shared" si="264"/>
        <v>289</v>
      </c>
      <c r="BO198" s="77">
        <f t="shared" si="265"/>
        <v>36</v>
      </c>
      <c r="BP198" s="77">
        <f t="shared" si="266"/>
        <v>750</v>
      </c>
      <c r="BQ198" s="77">
        <v>0</v>
      </c>
      <c r="BR198" s="80">
        <f t="shared" si="267"/>
        <v>49034</v>
      </c>
    </row>
    <row r="199" spans="1:70" outlineLevel="1" x14ac:dyDescent="0.35">
      <c r="A199" s="1" t="s">
        <v>6</v>
      </c>
      <c r="B199" s="1" t="s">
        <v>7</v>
      </c>
      <c r="C199" s="1" t="s">
        <v>8</v>
      </c>
      <c r="D199" s="1" t="s">
        <v>202</v>
      </c>
      <c r="E199" s="1" t="s">
        <v>216</v>
      </c>
      <c r="F199" s="2">
        <v>1</v>
      </c>
      <c r="G199" s="66">
        <v>0.5</v>
      </c>
      <c r="H199" s="66">
        <v>0.5</v>
      </c>
      <c r="I199" s="1" t="s">
        <v>611</v>
      </c>
      <c r="J199" s="1" t="s">
        <v>612</v>
      </c>
      <c r="K199" s="1" t="s">
        <v>217</v>
      </c>
      <c r="L199" s="76" t="str">
        <f>IF(M199="","N",STEP!$J$22)</f>
        <v>N</v>
      </c>
      <c r="M199" s="1" t="s">
        <v>11</v>
      </c>
      <c r="N199" s="1" t="s">
        <v>11</v>
      </c>
      <c r="O199" s="1" t="s">
        <v>11</v>
      </c>
      <c r="P199" s="1"/>
      <c r="Q199" s="185">
        <v>20150601</v>
      </c>
      <c r="R199" s="196">
        <v>42156</v>
      </c>
      <c r="S199" s="197">
        <f t="shared" si="247"/>
        <v>87</v>
      </c>
      <c r="T199" s="66">
        <f t="shared" si="248"/>
        <v>8</v>
      </c>
      <c r="U199" s="65" t="s">
        <v>11</v>
      </c>
      <c r="V199" s="192">
        <v>22.722300000000001</v>
      </c>
      <c r="W199" s="74" t="str">
        <f>IF(U199="","",(1-Y199))</f>
        <v/>
      </c>
      <c r="X199" s="70" t="str" cm="1">
        <f t="array" ref="X199">IF(U199="","",INDEX(STEP!$C:$C,MATCH('Position Control'!M199&amp;'Position Control'!P199,STEP!$A:$A&amp;STEP!$B:$B,0)))</f>
        <v/>
      </c>
      <c r="Y199" s="74" t="str">
        <f>IF(L199="Y",(20221001-U199)/10000,"")</f>
        <v/>
      </c>
      <c r="Z199" s="1">
        <v>9102</v>
      </c>
      <c r="AA199" s="112">
        <f>VLOOKUP(Z199,'WRK COMP'!$A$1:$E$17,5,FALSE)</f>
        <v>8.9280000000000002E-3</v>
      </c>
      <c r="AB199" s="76" t="s">
        <v>13</v>
      </c>
      <c r="AC199" s="68">
        <v>0</v>
      </c>
      <c r="AD199" s="68">
        <v>0</v>
      </c>
      <c r="AE199" s="68">
        <v>0</v>
      </c>
      <c r="AF199" s="68">
        <v>0</v>
      </c>
      <c r="AG199" s="68">
        <v>0</v>
      </c>
      <c r="AH199" s="68">
        <v>0</v>
      </c>
      <c r="AI199" s="68">
        <v>0</v>
      </c>
      <c r="AJ199" s="1" t="s">
        <v>61</v>
      </c>
      <c r="AK199" s="1" t="s">
        <v>35</v>
      </c>
      <c r="AL199" s="1" t="s">
        <v>36</v>
      </c>
      <c r="AM199" s="78">
        <f>IF(F199&gt;0.79,IF(ROUNDUP(IF(B199="FS",(V199*HRS!$B$9),(V199*HRS!$L$2))*2,-3)&gt;150000,150000,(ROUNDUP(IF(B199="FS",(V199*HRS!$B$9),(V199*HRS!$L$2))*2,-3))),0)</f>
        <v>95000</v>
      </c>
      <c r="AN199" s="188">
        <f t="shared" si="249"/>
        <v>23631.5</v>
      </c>
      <c r="AO199" s="77">
        <f>IF(L199="N",IF(B199="FS",ROUNDUP($V199*HRS!$B$9*'Position Control'!F199,0),ROUNDUP('Position Control'!$V199*HRS!$L$2*'Position Control'!F199,0)),IF('Position Control'!B199="FS",ROUNDUP(('Position Control'!V199*HRS!$B$9*'Position Control'!W199*'Position Control'!F199)+('Position Control'!X199*HRS!$B$9*'Position Control'!Y199*'Position Control'!F199),0),ROUNDUP(('Position Control'!V199*HRS!$L$2*'Position Control'!W199*'Position Control'!F199)+('Position Control'!X199*HRS!$L$2*'Position Control'!Y199*'Position Control'!F199),0)))*'Position Control'!H199</f>
        <v>23631.5</v>
      </c>
      <c r="AP199" s="77">
        <f t="shared" si="250"/>
        <v>0</v>
      </c>
      <c r="AQ199" s="77">
        <f t="shared" si="251"/>
        <v>0</v>
      </c>
      <c r="AR199" s="77">
        <f t="shared" si="252"/>
        <v>0</v>
      </c>
      <c r="AS199" s="77">
        <v>0</v>
      </c>
      <c r="AT199" s="79">
        <f t="shared" si="253"/>
        <v>0</v>
      </c>
      <c r="AU199" s="77">
        <f t="shared" si="254"/>
        <v>0</v>
      </c>
      <c r="AV199" s="77">
        <v>0</v>
      </c>
      <c r="AW199" s="77">
        <f t="shared" si="255"/>
        <v>0</v>
      </c>
      <c r="AX199" s="77">
        <f t="shared" si="256"/>
        <v>0</v>
      </c>
      <c r="AY199" s="77">
        <f t="shared" si="257"/>
        <v>0</v>
      </c>
      <c r="AZ199" s="77">
        <f t="shared" si="258"/>
        <v>0</v>
      </c>
      <c r="BA199" s="77">
        <f t="shared" si="259"/>
        <v>0</v>
      </c>
      <c r="BB199" s="77">
        <f t="shared" si="260"/>
        <v>0</v>
      </c>
      <c r="BC199" s="77">
        <f t="shared" si="270"/>
        <v>0</v>
      </c>
      <c r="BD199" s="77">
        <f t="shared" si="269"/>
        <v>217.5</v>
      </c>
      <c r="BE199" s="77">
        <v>0</v>
      </c>
      <c r="BF199" s="77">
        <f t="shared" si="261"/>
        <v>57</v>
      </c>
      <c r="BG199" s="77">
        <f>VLOOKUP($AJ199,BENE!$I$2:$N$9,6,FALSE)*'Position Control'!$H199</f>
        <v>155.5</v>
      </c>
      <c r="BH199" s="77">
        <f>VLOOKUP($AK199,BENE!$A$2:$F$19,6,FALSE)*'Position Control'!$H199</f>
        <v>5033.5</v>
      </c>
      <c r="BI199" s="77">
        <f>VLOOKUP($AK199,BENE!$A$2:$G$19,7,FALSE)*'Position Control'!$H199</f>
        <v>750</v>
      </c>
      <c r="BJ199" s="77">
        <f>VLOOKUP($AL199,BENE!$P$2:$S$6,4,FALSE)*'Position Control'!$H199</f>
        <v>156</v>
      </c>
      <c r="BK199" s="77">
        <f>IF($F199&gt;HRS!$H$2,ROUNDUP(((($AN199+$BE199)*$BK$3)/12*9)+(($AN199+$BE199)*HRS!$B$10/12*3),0),0)*$H199</f>
        <v>1992.5</v>
      </c>
      <c r="BL199" s="80">
        <f t="shared" si="262"/>
        <v>105.5</v>
      </c>
      <c r="BM199" s="77">
        <f t="shared" si="263"/>
        <v>72</v>
      </c>
      <c r="BN199" s="77">
        <f t="shared" si="264"/>
        <v>171.5</v>
      </c>
      <c r="BO199" s="77">
        <f t="shared" si="265"/>
        <v>21.5</v>
      </c>
      <c r="BP199" s="77">
        <f t="shared" si="266"/>
        <v>0</v>
      </c>
      <c r="BQ199" s="77">
        <v>0</v>
      </c>
      <c r="BR199" s="80">
        <f t="shared" si="267"/>
        <v>32364</v>
      </c>
    </row>
    <row r="200" spans="1:70" outlineLevel="1" x14ac:dyDescent="0.35">
      <c r="A200" s="1" t="s">
        <v>6</v>
      </c>
      <c r="B200" s="1" t="s">
        <v>7</v>
      </c>
      <c r="C200" s="1" t="s">
        <v>8</v>
      </c>
      <c r="D200" s="1" t="s">
        <v>202</v>
      </c>
      <c r="E200" s="1" t="s">
        <v>216</v>
      </c>
      <c r="F200" s="2">
        <v>1</v>
      </c>
      <c r="G200" s="66">
        <v>0.5</v>
      </c>
      <c r="H200" s="66">
        <v>0.5</v>
      </c>
      <c r="I200" s="1" t="s">
        <v>611</v>
      </c>
      <c r="J200" s="1" t="s">
        <v>612</v>
      </c>
      <c r="K200" s="10" t="s">
        <v>589</v>
      </c>
      <c r="L200" s="76" t="str">
        <f>IF(M200="","N",STEP!$J$22)</f>
        <v>N</v>
      </c>
      <c r="M200" s="1"/>
      <c r="N200" s="1"/>
      <c r="O200" s="1"/>
      <c r="P200" s="1"/>
      <c r="Q200" s="185">
        <v>20210719</v>
      </c>
      <c r="R200" s="196">
        <v>44396</v>
      </c>
      <c r="S200" s="197">
        <f t="shared" si="247"/>
        <v>14</v>
      </c>
      <c r="T200" s="66">
        <f t="shared" si="248"/>
        <v>2</v>
      </c>
      <c r="U200" s="65"/>
      <c r="V200" s="70">
        <v>21.4343</v>
      </c>
      <c r="W200" s="74"/>
      <c r="X200" s="70"/>
      <c r="Y200" s="74"/>
      <c r="Z200" s="1">
        <v>9102</v>
      </c>
      <c r="AA200" s="112">
        <f>VLOOKUP(Z200,'WRK COMP'!$A$1:$E$17,5,FALSE)</f>
        <v>8.9280000000000002E-3</v>
      </c>
      <c r="AB200" s="76" t="s">
        <v>13</v>
      </c>
      <c r="AC200" s="68">
        <v>0</v>
      </c>
      <c r="AD200" s="68">
        <v>0</v>
      </c>
      <c r="AE200" s="68">
        <v>0</v>
      </c>
      <c r="AF200" s="68">
        <v>0</v>
      </c>
      <c r="AG200" s="68">
        <v>0</v>
      </c>
      <c r="AH200" s="68">
        <v>0</v>
      </c>
      <c r="AI200" s="68">
        <v>0</v>
      </c>
      <c r="AJ200" s="10" t="s">
        <v>14</v>
      </c>
      <c r="AK200" s="10" t="s">
        <v>49</v>
      </c>
      <c r="AL200" s="10" t="s">
        <v>16</v>
      </c>
      <c r="AM200" s="78">
        <f>IF(F200&gt;0.79,IF(ROUNDUP(IF(B200="FS",(V200*HRS!$B$9),(V200*HRS!$L$2))*2,-3)&gt;150000,150000,(ROUNDUP(IF(B200="FS",(V200*HRS!$B$9),(V200*HRS!$L$2))*2,-3))),0)</f>
        <v>90000</v>
      </c>
      <c r="AN200" s="188">
        <f t="shared" si="249"/>
        <v>22292</v>
      </c>
      <c r="AO200" s="77">
        <f>IF(L200="N",IF(B200="FS",ROUNDUP($V200*HRS!$B$9*'Position Control'!F200,0),ROUNDUP('Position Control'!$V200*HRS!$L$2*'Position Control'!F200,0)),IF('Position Control'!B200="FS",ROUNDUP(('Position Control'!V200*HRS!$B$9*'Position Control'!W200*'Position Control'!F200)+('Position Control'!X200*HRS!$B$9*'Position Control'!Y200*'Position Control'!F200),0),ROUNDUP(('Position Control'!V200*HRS!$L$2*'Position Control'!W200*'Position Control'!F200)+('Position Control'!X200*HRS!$L$2*'Position Control'!Y200*'Position Control'!F200),0)))*'Position Control'!H200</f>
        <v>22292</v>
      </c>
      <c r="AP200" s="77">
        <f t="shared" si="250"/>
        <v>0</v>
      </c>
      <c r="AQ200" s="77">
        <f t="shared" si="251"/>
        <v>0</v>
      </c>
      <c r="AR200" s="77">
        <f t="shared" si="252"/>
        <v>0</v>
      </c>
      <c r="AS200" s="77">
        <v>0</v>
      </c>
      <c r="AT200" s="79">
        <f t="shared" si="253"/>
        <v>0</v>
      </c>
      <c r="AU200" s="77">
        <f t="shared" si="254"/>
        <v>0</v>
      </c>
      <c r="AV200" s="77">
        <v>0</v>
      </c>
      <c r="AW200" s="77">
        <f t="shared" si="255"/>
        <v>0</v>
      </c>
      <c r="AX200" s="77">
        <f t="shared" si="256"/>
        <v>0</v>
      </c>
      <c r="AY200" s="77">
        <f t="shared" si="257"/>
        <v>0</v>
      </c>
      <c r="AZ200" s="77">
        <f t="shared" si="258"/>
        <v>0</v>
      </c>
      <c r="BA200" s="77">
        <f t="shared" si="259"/>
        <v>0</v>
      </c>
      <c r="BB200" s="77">
        <f t="shared" si="260"/>
        <v>0</v>
      </c>
      <c r="BC200" s="77">
        <f t="shared" si="270"/>
        <v>0</v>
      </c>
      <c r="BD200" s="77">
        <f t="shared" si="269"/>
        <v>35</v>
      </c>
      <c r="BE200" s="77">
        <v>0</v>
      </c>
      <c r="BF200" s="77">
        <f t="shared" si="261"/>
        <v>54</v>
      </c>
      <c r="BG200" s="77">
        <f>VLOOKUP($AJ200,BENE!$I$2:$N$9,6,FALSE)*'Position Control'!$H200</f>
        <v>194.5</v>
      </c>
      <c r="BH200" s="77">
        <f>VLOOKUP($AK200,BENE!$A$2:$F$19,6,FALSE)*'Position Control'!$H200</f>
        <v>0</v>
      </c>
      <c r="BI200" s="77">
        <f>VLOOKUP($AK200,BENE!$A$2:$G$19,7,FALSE)*'Position Control'!$H200</f>
        <v>0</v>
      </c>
      <c r="BJ200" s="77">
        <f>VLOOKUP($AL200,BENE!$P$2:$S$6,4,FALSE)*'Position Control'!$H200</f>
        <v>120</v>
      </c>
      <c r="BK200" s="77">
        <f>IF($F200&gt;HRS!$H$2,ROUNDUP(((($AN200+$BE200)*$BK$3)/12*9)+(($AN200+$BE200)*HRS!$B$10/12*3),0),0)*$H200</f>
        <v>1879.5</v>
      </c>
      <c r="BL200" s="80">
        <f t="shared" si="262"/>
        <v>100</v>
      </c>
      <c r="BM200" s="77">
        <f t="shared" si="263"/>
        <v>72</v>
      </c>
      <c r="BN200" s="77">
        <f t="shared" si="264"/>
        <v>162</v>
      </c>
      <c r="BO200" s="77">
        <f t="shared" si="265"/>
        <v>20</v>
      </c>
      <c r="BP200" s="77">
        <f t="shared" si="266"/>
        <v>0</v>
      </c>
      <c r="BQ200" s="77">
        <v>0</v>
      </c>
      <c r="BR200" s="80">
        <f t="shared" si="267"/>
        <v>24929</v>
      </c>
    </row>
    <row r="201" spans="1:70" outlineLevel="1" x14ac:dyDescent="0.35">
      <c r="A201" s="10" t="s">
        <v>83</v>
      </c>
      <c r="B201" s="10" t="s">
        <v>581</v>
      </c>
      <c r="C201" s="10" t="s">
        <v>8</v>
      </c>
      <c r="D201" s="10" t="s">
        <v>202</v>
      </c>
      <c r="E201" s="10" t="s">
        <v>216</v>
      </c>
      <c r="F201" s="180">
        <v>0.3</v>
      </c>
      <c r="G201" s="180">
        <v>0</v>
      </c>
      <c r="H201" s="181">
        <v>0</v>
      </c>
      <c r="I201" s="10" t="s">
        <v>84</v>
      </c>
      <c r="J201" s="10" t="s">
        <v>408</v>
      </c>
      <c r="K201" s="10" t="s">
        <v>582</v>
      </c>
      <c r="L201" s="76" t="str">
        <f>IF(M201="","N",STEP!$J$22)</f>
        <v>N</v>
      </c>
      <c r="M201" s="1"/>
      <c r="N201" s="1"/>
      <c r="O201" s="1"/>
      <c r="P201" s="1"/>
      <c r="Q201" s="185">
        <v>20220501</v>
      </c>
      <c r="R201" s="196">
        <v>44836</v>
      </c>
      <c r="S201" s="197">
        <f t="shared" si="247"/>
        <v>0</v>
      </c>
      <c r="T201" s="66">
        <f t="shared" si="248"/>
        <v>0</v>
      </c>
      <c r="U201" s="65"/>
      <c r="V201" s="70">
        <v>12.652699999999999</v>
      </c>
      <c r="W201" s="74"/>
      <c r="X201" s="70"/>
      <c r="Y201" s="74"/>
      <c r="Z201" s="1">
        <v>9102</v>
      </c>
      <c r="AA201" s="112">
        <f>VLOOKUP(Z201,'WRK COMP'!$A$1:$E$17,5,FALSE)</f>
        <v>8.9280000000000002E-3</v>
      </c>
      <c r="AB201" s="76" t="s">
        <v>13</v>
      </c>
      <c r="AC201" s="68">
        <v>0</v>
      </c>
      <c r="AD201" s="68">
        <v>0</v>
      </c>
      <c r="AE201" s="68">
        <v>0</v>
      </c>
      <c r="AF201" s="68">
        <v>0</v>
      </c>
      <c r="AG201" s="68">
        <v>0</v>
      </c>
      <c r="AH201" s="68">
        <v>0</v>
      </c>
      <c r="AI201" s="68">
        <v>0</v>
      </c>
      <c r="AJ201" s="10" t="s">
        <v>49</v>
      </c>
      <c r="AK201" s="10" t="s">
        <v>49</v>
      </c>
      <c r="AL201" s="10" t="s">
        <v>49</v>
      </c>
      <c r="AM201" s="78">
        <f>IF(F201&gt;0.79,IF(ROUNDUP(IF(B201="FS",(V201*HRS!$B$9),(V201*HRS!$L$2))*2,-3)&gt;150000,150000,(ROUNDUP(IF(B201="FS",(V201*HRS!$B$9),(V201*HRS!$L$2))*2,-3))),0)</f>
        <v>0</v>
      </c>
      <c r="AN201" s="188">
        <f t="shared" si="249"/>
        <v>0</v>
      </c>
      <c r="AO201" s="77">
        <f>IF(L201="N",IF(B201="FS",ROUNDUP($V201*HRS!$B$9*'Position Control'!F201,0),ROUNDUP('Position Control'!$V201*HRS!$L$2*'Position Control'!F201,0)),IF('Position Control'!B201="FS",ROUNDUP(('Position Control'!V201*HRS!$B$9*'Position Control'!W201*'Position Control'!F201)+('Position Control'!X201*HRS!$B$9*'Position Control'!Y201*'Position Control'!F201),0),ROUNDUP(('Position Control'!V201*HRS!$L$2*'Position Control'!W201*'Position Control'!F201)+('Position Control'!X201*HRS!$L$2*'Position Control'!Y201*'Position Control'!F201),0)))*'Position Control'!H201</f>
        <v>0</v>
      </c>
      <c r="AP201" s="77">
        <f t="shared" si="250"/>
        <v>0</v>
      </c>
      <c r="AQ201" s="77">
        <f t="shared" si="251"/>
        <v>0</v>
      </c>
      <c r="AR201" s="77">
        <f t="shared" si="252"/>
        <v>0</v>
      </c>
      <c r="AS201" s="77">
        <v>0</v>
      </c>
      <c r="AT201" s="79">
        <f t="shared" si="253"/>
        <v>0</v>
      </c>
      <c r="AU201" s="77">
        <f t="shared" si="254"/>
        <v>0</v>
      </c>
      <c r="AV201" s="77">
        <v>0</v>
      </c>
      <c r="AW201" s="77">
        <f t="shared" si="255"/>
        <v>0</v>
      </c>
      <c r="AX201" s="77">
        <f t="shared" si="256"/>
        <v>0</v>
      </c>
      <c r="AY201" s="77">
        <f t="shared" si="257"/>
        <v>0</v>
      </c>
      <c r="AZ201" s="77">
        <f t="shared" si="258"/>
        <v>0</v>
      </c>
      <c r="BA201" s="77">
        <f t="shared" si="259"/>
        <v>0</v>
      </c>
      <c r="BB201" s="77">
        <f t="shared" si="260"/>
        <v>0</v>
      </c>
      <c r="BC201" s="77">
        <f t="shared" si="270"/>
        <v>0</v>
      </c>
      <c r="BD201" s="77">
        <f t="shared" si="269"/>
        <v>0</v>
      </c>
      <c r="BE201" s="77">
        <v>0</v>
      </c>
      <c r="BF201" s="77">
        <f t="shared" si="261"/>
        <v>0</v>
      </c>
      <c r="BG201" s="77">
        <f>VLOOKUP($AJ201,BENE!$I$2:$N$9,6,FALSE)*'Position Control'!$H201</f>
        <v>0</v>
      </c>
      <c r="BH201" s="77">
        <f>VLOOKUP($AK201,BENE!$A$2:$F$19,6,FALSE)*'Position Control'!$H201</f>
        <v>0</v>
      </c>
      <c r="BI201" s="77">
        <f>VLOOKUP($AK201,BENE!$A$2:$G$19,7,FALSE)*'Position Control'!$H201</f>
        <v>0</v>
      </c>
      <c r="BJ201" s="77">
        <f>VLOOKUP($AL201,BENE!$P$2:$S$6,4,FALSE)*'Position Control'!$H201</f>
        <v>0</v>
      </c>
      <c r="BK201" s="77">
        <f>IF($F201&gt;HRS!$H$2,ROUNDUP(((($AN201+$BE201)*$BK$3)/12*9)+(($AN201+$BE201)*HRS!$B$10/12*3),0),0)*$H201</f>
        <v>0</v>
      </c>
      <c r="BL201" s="80">
        <f t="shared" si="262"/>
        <v>0</v>
      </c>
      <c r="BM201" s="77">
        <f t="shared" si="263"/>
        <v>0</v>
      </c>
      <c r="BN201" s="77">
        <f t="shared" si="264"/>
        <v>0</v>
      </c>
      <c r="BO201" s="77">
        <f t="shared" si="265"/>
        <v>0</v>
      </c>
      <c r="BP201" s="77">
        <f t="shared" si="266"/>
        <v>0</v>
      </c>
      <c r="BQ201" s="77">
        <v>0</v>
      </c>
      <c r="BR201" s="80">
        <f t="shared" si="267"/>
        <v>0</v>
      </c>
    </row>
    <row r="202" spans="1:70" outlineLevel="1" x14ac:dyDescent="0.35">
      <c r="A202" s="10" t="s">
        <v>83</v>
      </c>
      <c r="B202" s="10" t="s">
        <v>581</v>
      </c>
      <c r="C202" s="10" t="s">
        <v>8</v>
      </c>
      <c r="D202" s="10" t="s">
        <v>202</v>
      </c>
      <c r="E202" s="10" t="s">
        <v>216</v>
      </c>
      <c r="F202" s="180">
        <v>0.3</v>
      </c>
      <c r="G202" s="180">
        <v>0</v>
      </c>
      <c r="H202" s="181">
        <v>0</v>
      </c>
      <c r="I202" s="10" t="s">
        <v>84</v>
      </c>
      <c r="J202" s="10" t="s">
        <v>408</v>
      </c>
      <c r="K202" s="10" t="s">
        <v>582</v>
      </c>
      <c r="L202" s="76" t="str">
        <f>IF(M202="","N",STEP!$J$22)</f>
        <v>N</v>
      </c>
      <c r="M202" s="1"/>
      <c r="N202" s="1"/>
      <c r="O202" s="1"/>
      <c r="P202" s="1"/>
      <c r="Q202" s="185">
        <v>20220502</v>
      </c>
      <c r="R202" s="196">
        <v>44836</v>
      </c>
      <c r="S202" s="197">
        <f t="shared" si="247"/>
        <v>0</v>
      </c>
      <c r="T202" s="66">
        <f t="shared" si="248"/>
        <v>0</v>
      </c>
      <c r="U202" s="65"/>
      <c r="V202" s="70">
        <v>12.652699999999999</v>
      </c>
      <c r="W202" s="74"/>
      <c r="X202" s="70"/>
      <c r="Y202" s="74"/>
      <c r="Z202" s="1">
        <v>9102</v>
      </c>
      <c r="AA202" s="112">
        <f>VLOOKUP(Z202,'WRK COMP'!$A$1:$E$17,5,FALSE)</f>
        <v>8.9280000000000002E-3</v>
      </c>
      <c r="AB202" s="76" t="s">
        <v>13</v>
      </c>
      <c r="AC202" s="68">
        <v>0</v>
      </c>
      <c r="AD202" s="68">
        <v>0</v>
      </c>
      <c r="AE202" s="68">
        <v>0</v>
      </c>
      <c r="AF202" s="68">
        <v>0</v>
      </c>
      <c r="AG202" s="68">
        <v>0</v>
      </c>
      <c r="AH202" s="68">
        <v>0</v>
      </c>
      <c r="AI202" s="68">
        <v>0</v>
      </c>
      <c r="AJ202" s="10" t="s">
        <v>49</v>
      </c>
      <c r="AK202" s="10" t="s">
        <v>49</v>
      </c>
      <c r="AL202" s="10" t="s">
        <v>49</v>
      </c>
      <c r="AM202" s="78">
        <f>IF(F202&gt;0.79,IF(ROUNDUP(IF(B202="FS",(V202*HRS!$B$9),(V202*HRS!$L$2))*2,-3)&gt;150000,150000,(ROUNDUP(IF(B202="FS",(V202*HRS!$B$9),(V202*HRS!$L$2))*2,-3))),0)</f>
        <v>0</v>
      </c>
      <c r="AN202" s="188">
        <f t="shared" si="249"/>
        <v>0</v>
      </c>
      <c r="AO202" s="77">
        <f>IF(L202="N",IF(B202="FS",ROUNDUP($V202*HRS!$B$9*'Position Control'!F202,0),ROUNDUP('Position Control'!$V202*HRS!$L$2*'Position Control'!F202,0)),IF('Position Control'!B202="FS",ROUNDUP(('Position Control'!V202*HRS!$B$9*'Position Control'!W202*'Position Control'!F202)+('Position Control'!X202*HRS!$B$9*'Position Control'!Y202*'Position Control'!F202),0),ROUNDUP(('Position Control'!V202*HRS!$L$2*'Position Control'!W202*'Position Control'!F202)+('Position Control'!X202*HRS!$L$2*'Position Control'!Y202*'Position Control'!F202),0)))*'Position Control'!H202</f>
        <v>0</v>
      </c>
      <c r="AP202" s="77">
        <f t="shared" si="250"/>
        <v>0</v>
      </c>
      <c r="AQ202" s="77">
        <f t="shared" si="251"/>
        <v>0</v>
      </c>
      <c r="AR202" s="77">
        <f t="shared" si="252"/>
        <v>0</v>
      </c>
      <c r="AS202" s="77">
        <v>0</v>
      </c>
      <c r="AT202" s="79">
        <f t="shared" si="253"/>
        <v>0</v>
      </c>
      <c r="AU202" s="77">
        <f t="shared" si="254"/>
        <v>0</v>
      </c>
      <c r="AV202" s="77">
        <v>0</v>
      </c>
      <c r="AW202" s="77">
        <f t="shared" si="255"/>
        <v>0</v>
      </c>
      <c r="AX202" s="77">
        <f t="shared" si="256"/>
        <v>0</v>
      </c>
      <c r="AY202" s="77">
        <f t="shared" si="257"/>
        <v>0</v>
      </c>
      <c r="AZ202" s="77">
        <f t="shared" si="258"/>
        <v>0</v>
      </c>
      <c r="BA202" s="77">
        <f t="shared" si="259"/>
        <v>0</v>
      </c>
      <c r="BB202" s="77">
        <f t="shared" si="260"/>
        <v>0</v>
      </c>
      <c r="BC202" s="77">
        <f t="shared" si="270"/>
        <v>0</v>
      </c>
      <c r="BD202" s="77">
        <f t="shared" si="269"/>
        <v>0</v>
      </c>
      <c r="BE202" s="77">
        <v>0</v>
      </c>
      <c r="BF202" s="77">
        <f t="shared" si="261"/>
        <v>0</v>
      </c>
      <c r="BG202" s="77">
        <f>VLOOKUP($AJ202,BENE!$I$2:$N$9,6,FALSE)*'Position Control'!$H202</f>
        <v>0</v>
      </c>
      <c r="BH202" s="77">
        <f>VLOOKUP($AK202,BENE!$A$2:$F$19,6,FALSE)*'Position Control'!$H202</f>
        <v>0</v>
      </c>
      <c r="BI202" s="77">
        <f>VLOOKUP($AK202,BENE!$A$2:$G$19,7,FALSE)*'Position Control'!$H202</f>
        <v>0</v>
      </c>
      <c r="BJ202" s="77">
        <f>VLOOKUP($AL202,BENE!$P$2:$S$6,4,FALSE)*'Position Control'!$H202</f>
        <v>0</v>
      </c>
      <c r="BK202" s="77">
        <f>IF($F202&gt;HRS!$H$2,ROUNDUP(((($AN202+$BE202)*$BK$3)/12*9)+(($AN202+$BE202)*HRS!$B$10/12*3),0),0)*$H202</f>
        <v>0</v>
      </c>
      <c r="BL202" s="80">
        <f t="shared" si="262"/>
        <v>0</v>
      </c>
      <c r="BM202" s="77">
        <f t="shared" si="263"/>
        <v>0</v>
      </c>
      <c r="BN202" s="77">
        <f t="shared" si="264"/>
        <v>0</v>
      </c>
      <c r="BO202" s="77">
        <f t="shared" si="265"/>
        <v>0</v>
      </c>
      <c r="BP202" s="77">
        <f t="shared" si="266"/>
        <v>0</v>
      </c>
      <c r="BQ202" s="77">
        <v>0</v>
      </c>
      <c r="BR202" s="80">
        <f t="shared" si="267"/>
        <v>0</v>
      </c>
    </row>
    <row r="203" spans="1:70" outlineLevel="1" x14ac:dyDescent="0.35">
      <c r="A203" s="10" t="s">
        <v>83</v>
      </c>
      <c r="B203" s="10" t="s">
        <v>581</v>
      </c>
      <c r="C203" s="10" t="s">
        <v>8</v>
      </c>
      <c r="D203" s="10" t="s">
        <v>202</v>
      </c>
      <c r="E203" s="10" t="s">
        <v>216</v>
      </c>
      <c r="F203" s="180">
        <v>0.2</v>
      </c>
      <c r="G203" s="180">
        <v>0</v>
      </c>
      <c r="H203" s="181">
        <v>0</v>
      </c>
      <c r="I203" s="10" t="s">
        <v>84</v>
      </c>
      <c r="J203" s="10" t="s">
        <v>408</v>
      </c>
      <c r="K203" s="10" t="s">
        <v>583</v>
      </c>
      <c r="L203" s="76" t="str">
        <f>IF(M203="","N",STEP!$J$22)</f>
        <v>N</v>
      </c>
      <c r="M203" s="1"/>
      <c r="N203" s="1"/>
      <c r="O203" s="1"/>
      <c r="P203" s="1"/>
      <c r="Q203" s="185">
        <v>20220503</v>
      </c>
      <c r="R203" s="196">
        <v>44836</v>
      </c>
      <c r="S203" s="197">
        <f t="shared" si="247"/>
        <v>0</v>
      </c>
      <c r="T203" s="66">
        <f t="shared" si="248"/>
        <v>0</v>
      </c>
      <c r="U203" s="65"/>
      <c r="V203" s="70">
        <v>10.4095</v>
      </c>
      <c r="W203" s="74"/>
      <c r="X203" s="70"/>
      <c r="Y203" s="74"/>
      <c r="Z203" s="1">
        <v>9102</v>
      </c>
      <c r="AA203" s="112">
        <f>VLOOKUP(Z203,'WRK COMP'!$A$1:$E$17,5,FALSE)</f>
        <v>8.9280000000000002E-3</v>
      </c>
      <c r="AB203" s="76" t="s">
        <v>13</v>
      </c>
      <c r="AC203" s="68">
        <v>0</v>
      </c>
      <c r="AD203" s="68">
        <v>0</v>
      </c>
      <c r="AE203" s="68">
        <v>0</v>
      </c>
      <c r="AF203" s="68">
        <v>0</v>
      </c>
      <c r="AG203" s="68">
        <v>0</v>
      </c>
      <c r="AH203" s="68">
        <v>0</v>
      </c>
      <c r="AI203" s="68">
        <v>0</v>
      </c>
      <c r="AJ203" s="10" t="s">
        <v>49</v>
      </c>
      <c r="AK203" s="10" t="s">
        <v>49</v>
      </c>
      <c r="AL203" s="10" t="s">
        <v>49</v>
      </c>
      <c r="AM203" s="78">
        <f>IF(F203&gt;0.79,IF(ROUNDUP(IF(B203="FS",(V203*HRS!$B$9),(V203*HRS!$L$2))*2,-3)&gt;150000,150000,(ROUNDUP(IF(B203="FS",(V203*HRS!$B$9),(V203*HRS!$L$2))*2,-3))),0)</f>
        <v>0</v>
      </c>
      <c r="AN203" s="188">
        <f t="shared" si="249"/>
        <v>0</v>
      </c>
      <c r="AO203" s="77">
        <f>IF(L203="N",IF(B203="FS",ROUNDUP($V203*HRS!$B$9*'Position Control'!F203,0),ROUNDUP('Position Control'!$V203*HRS!$L$2*'Position Control'!F203,0)),IF('Position Control'!B203="FS",ROUNDUP(('Position Control'!V203*HRS!$B$9*'Position Control'!W203*'Position Control'!F203)+('Position Control'!X203*HRS!$B$9*'Position Control'!Y203*'Position Control'!F203),0),ROUNDUP(('Position Control'!V203*HRS!$L$2*'Position Control'!W203*'Position Control'!F203)+('Position Control'!X203*HRS!$L$2*'Position Control'!Y203*'Position Control'!F203),0)))*'Position Control'!H203</f>
        <v>0</v>
      </c>
      <c r="AP203" s="77">
        <f t="shared" si="250"/>
        <v>0</v>
      </c>
      <c r="AQ203" s="77">
        <f t="shared" si="251"/>
        <v>0</v>
      </c>
      <c r="AR203" s="77">
        <f t="shared" si="252"/>
        <v>0</v>
      </c>
      <c r="AS203" s="77">
        <v>0</v>
      </c>
      <c r="AT203" s="79">
        <f t="shared" si="253"/>
        <v>0</v>
      </c>
      <c r="AU203" s="77">
        <f t="shared" si="254"/>
        <v>0</v>
      </c>
      <c r="AV203" s="77">
        <v>0</v>
      </c>
      <c r="AW203" s="77">
        <f t="shared" si="255"/>
        <v>0</v>
      </c>
      <c r="AX203" s="77">
        <f t="shared" si="256"/>
        <v>0</v>
      </c>
      <c r="AY203" s="77">
        <f t="shared" si="257"/>
        <v>0</v>
      </c>
      <c r="AZ203" s="77">
        <f t="shared" si="258"/>
        <v>0</v>
      </c>
      <c r="BA203" s="77">
        <f t="shared" si="259"/>
        <v>0</v>
      </c>
      <c r="BB203" s="77">
        <f t="shared" si="260"/>
        <v>0</v>
      </c>
      <c r="BC203" s="77">
        <f t="shared" si="270"/>
        <v>0</v>
      </c>
      <c r="BD203" s="77">
        <f t="shared" si="269"/>
        <v>0</v>
      </c>
      <c r="BE203" s="77">
        <v>0</v>
      </c>
      <c r="BF203" s="77">
        <f t="shared" si="261"/>
        <v>0</v>
      </c>
      <c r="BG203" s="77">
        <f>VLOOKUP($AJ203,BENE!$I$2:$N$9,6,FALSE)*'Position Control'!$H203</f>
        <v>0</v>
      </c>
      <c r="BH203" s="77">
        <f>VLOOKUP($AK203,BENE!$A$2:$F$19,6,FALSE)*'Position Control'!$H203</f>
        <v>0</v>
      </c>
      <c r="BI203" s="77">
        <f>VLOOKUP($AK203,BENE!$A$2:$G$19,7,FALSE)*'Position Control'!$H203</f>
        <v>0</v>
      </c>
      <c r="BJ203" s="77">
        <f>VLOOKUP($AL203,BENE!$P$2:$S$6,4,FALSE)*'Position Control'!$H203</f>
        <v>0</v>
      </c>
      <c r="BK203" s="77">
        <f>IF($F203&gt;HRS!$H$2,ROUNDUP(((($AN203+$BE203)*$BK$3)/12*9)+(($AN203+$BE203)*HRS!$B$10/12*3),0),0)*$H203</f>
        <v>0</v>
      </c>
      <c r="BL203" s="80">
        <f t="shared" si="262"/>
        <v>0</v>
      </c>
      <c r="BM203" s="77">
        <f t="shared" si="263"/>
        <v>0</v>
      </c>
      <c r="BN203" s="77">
        <f t="shared" si="264"/>
        <v>0</v>
      </c>
      <c r="BO203" s="77">
        <f t="shared" si="265"/>
        <v>0</v>
      </c>
      <c r="BP203" s="77">
        <f t="shared" si="266"/>
        <v>0</v>
      </c>
      <c r="BQ203" s="77">
        <v>0</v>
      </c>
      <c r="BR203" s="80">
        <f t="shared" si="267"/>
        <v>0</v>
      </c>
    </row>
    <row r="204" spans="1:70" outlineLevel="1" x14ac:dyDescent="0.35">
      <c r="A204" s="10" t="s">
        <v>83</v>
      </c>
      <c r="B204" s="10" t="s">
        <v>581</v>
      </c>
      <c r="C204" s="10" t="s">
        <v>8</v>
      </c>
      <c r="D204" s="10" t="s">
        <v>202</v>
      </c>
      <c r="E204" s="10" t="s">
        <v>216</v>
      </c>
      <c r="F204" s="180">
        <v>0.2</v>
      </c>
      <c r="G204" s="180">
        <v>0</v>
      </c>
      <c r="H204" s="181">
        <v>0</v>
      </c>
      <c r="I204" s="10" t="s">
        <v>84</v>
      </c>
      <c r="J204" s="10" t="s">
        <v>408</v>
      </c>
      <c r="K204" s="10" t="s">
        <v>583</v>
      </c>
      <c r="L204" s="76" t="str">
        <f>IF(M204="","N",STEP!$J$22)</f>
        <v>N</v>
      </c>
      <c r="M204" s="1"/>
      <c r="N204" s="1"/>
      <c r="O204" s="1"/>
      <c r="P204" s="1"/>
      <c r="Q204" s="185">
        <v>20220503</v>
      </c>
      <c r="R204" s="196">
        <v>44836</v>
      </c>
      <c r="S204" s="197">
        <f t="shared" si="247"/>
        <v>0</v>
      </c>
      <c r="T204" s="66">
        <f t="shared" si="248"/>
        <v>0</v>
      </c>
      <c r="U204" s="65"/>
      <c r="V204" s="70">
        <v>10.4095</v>
      </c>
      <c r="W204" s="74"/>
      <c r="X204" s="70"/>
      <c r="Y204" s="74"/>
      <c r="Z204" s="1">
        <v>9102</v>
      </c>
      <c r="AA204" s="112">
        <f>VLOOKUP(Z204,'WRK COMP'!$A$1:$E$17,5,FALSE)</f>
        <v>8.9280000000000002E-3</v>
      </c>
      <c r="AB204" s="76" t="s">
        <v>13</v>
      </c>
      <c r="AC204" s="68">
        <v>0</v>
      </c>
      <c r="AD204" s="68">
        <v>0</v>
      </c>
      <c r="AE204" s="68">
        <v>0</v>
      </c>
      <c r="AF204" s="68">
        <v>0</v>
      </c>
      <c r="AG204" s="68">
        <v>0</v>
      </c>
      <c r="AH204" s="68">
        <v>0</v>
      </c>
      <c r="AI204" s="68">
        <v>0</v>
      </c>
      <c r="AJ204" s="10" t="s">
        <v>49</v>
      </c>
      <c r="AK204" s="10" t="s">
        <v>49</v>
      </c>
      <c r="AL204" s="10" t="s">
        <v>49</v>
      </c>
      <c r="AM204" s="78">
        <f>IF(F204&gt;0.79,IF(ROUNDUP(IF(B204="FS",(V204*HRS!$B$9),(V204*HRS!$L$2))*2,-3)&gt;150000,150000,(ROUNDUP(IF(B204="FS",(V204*HRS!$B$9),(V204*HRS!$L$2))*2,-3))),0)</f>
        <v>0</v>
      </c>
      <c r="AN204" s="188">
        <f t="shared" si="249"/>
        <v>0</v>
      </c>
      <c r="AO204" s="77">
        <f>IF(L204="N",IF(B204="FS",ROUNDUP($V204*HRS!$B$9*'Position Control'!F204,0),ROUNDUP('Position Control'!$V204*HRS!$L$2*'Position Control'!F204,0)),IF('Position Control'!B204="FS",ROUNDUP(('Position Control'!V204*HRS!$B$9*'Position Control'!W204*'Position Control'!F204)+('Position Control'!X204*HRS!$B$9*'Position Control'!Y204*'Position Control'!F204),0),ROUNDUP(('Position Control'!V204*HRS!$L$2*'Position Control'!W204*'Position Control'!F204)+('Position Control'!X204*HRS!$L$2*'Position Control'!Y204*'Position Control'!F204),0)))*'Position Control'!H204</f>
        <v>0</v>
      </c>
      <c r="AP204" s="77">
        <f t="shared" si="250"/>
        <v>0</v>
      </c>
      <c r="AQ204" s="77">
        <f t="shared" si="251"/>
        <v>0</v>
      </c>
      <c r="AR204" s="77">
        <f t="shared" si="252"/>
        <v>0</v>
      </c>
      <c r="AS204" s="77">
        <v>0</v>
      </c>
      <c r="AT204" s="79">
        <f t="shared" si="253"/>
        <v>0</v>
      </c>
      <c r="AU204" s="77">
        <f t="shared" si="254"/>
        <v>0</v>
      </c>
      <c r="AV204" s="77">
        <v>0</v>
      </c>
      <c r="AW204" s="77">
        <f t="shared" si="255"/>
        <v>0</v>
      </c>
      <c r="AX204" s="77">
        <f t="shared" si="256"/>
        <v>0</v>
      </c>
      <c r="AY204" s="77">
        <f t="shared" si="257"/>
        <v>0</v>
      </c>
      <c r="AZ204" s="77">
        <f t="shared" si="258"/>
        <v>0</v>
      </c>
      <c r="BA204" s="77">
        <f t="shared" si="259"/>
        <v>0</v>
      </c>
      <c r="BB204" s="77">
        <f t="shared" si="260"/>
        <v>0</v>
      </c>
      <c r="BC204" s="77">
        <f t="shared" si="270"/>
        <v>0</v>
      </c>
      <c r="BD204" s="77">
        <f t="shared" si="269"/>
        <v>0</v>
      </c>
      <c r="BE204" s="77">
        <v>0</v>
      </c>
      <c r="BF204" s="77">
        <f t="shared" si="261"/>
        <v>0</v>
      </c>
      <c r="BG204" s="77">
        <f>VLOOKUP($AJ204,BENE!$I$2:$N$9,6,FALSE)*'Position Control'!$H204</f>
        <v>0</v>
      </c>
      <c r="BH204" s="77">
        <f>VLOOKUP($AK204,BENE!$A$2:$F$19,6,FALSE)*'Position Control'!$H204</f>
        <v>0</v>
      </c>
      <c r="BI204" s="77">
        <f>VLOOKUP($AK204,BENE!$A$2:$G$19,7,FALSE)*'Position Control'!$H204</f>
        <v>0</v>
      </c>
      <c r="BJ204" s="77">
        <f>VLOOKUP($AL204,BENE!$P$2:$S$6,4,FALSE)*'Position Control'!$H204</f>
        <v>0</v>
      </c>
      <c r="BK204" s="77">
        <f>IF($F204&gt;HRS!$H$2,ROUNDUP(((($AN204+$BE204)*$BK$3)/12*9)+(($AN204+$BE204)*HRS!$B$10/12*3),0),0)*$H204</f>
        <v>0</v>
      </c>
      <c r="BL204" s="80">
        <f t="shared" si="262"/>
        <v>0</v>
      </c>
      <c r="BM204" s="77">
        <f t="shared" si="263"/>
        <v>0</v>
      </c>
      <c r="BN204" s="77">
        <f t="shared" si="264"/>
        <v>0</v>
      </c>
      <c r="BO204" s="77">
        <f t="shared" si="265"/>
        <v>0</v>
      </c>
      <c r="BP204" s="77">
        <f t="shared" si="266"/>
        <v>0</v>
      </c>
      <c r="BQ204" s="77">
        <v>0</v>
      </c>
      <c r="BR204" s="80">
        <f t="shared" si="267"/>
        <v>0</v>
      </c>
    </row>
    <row r="205" spans="1:70" outlineLevel="1" x14ac:dyDescent="0.35">
      <c r="A205" s="10" t="s">
        <v>83</v>
      </c>
      <c r="B205" s="10" t="s">
        <v>581</v>
      </c>
      <c r="C205" s="10" t="s">
        <v>8</v>
      </c>
      <c r="D205" s="10" t="s">
        <v>202</v>
      </c>
      <c r="E205" s="10" t="s">
        <v>216</v>
      </c>
      <c r="F205" s="180">
        <v>0.2</v>
      </c>
      <c r="G205" s="180">
        <v>0</v>
      </c>
      <c r="H205" s="181">
        <v>0</v>
      </c>
      <c r="I205" s="10" t="s">
        <v>84</v>
      </c>
      <c r="J205" s="10" t="s">
        <v>408</v>
      </c>
      <c r="K205" s="10" t="s">
        <v>583</v>
      </c>
      <c r="L205" s="76" t="str">
        <f>IF(M205="","N",STEP!$J$22)</f>
        <v>N</v>
      </c>
      <c r="M205" s="1"/>
      <c r="N205" s="1"/>
      <c r="O205" s="1"/>
      <c r="P205" s="1"/>
      <c r="Q205" s="185">
        <v>20220503</v>
      </c>
      <c r="R205" s="196">
        <v>44836</v>
      </c>
      <c r="S205" s="197">
        <f t="shared" si="247"/>
        <v>0</v>
      </c>
      <c r="T205" s="66">
        <f t="shared" si="248"/>
        <v>0</v>
      </c>
      <c r="U205" s="65"/>
      <c r="V205" s="70">
        <v>10.4095</v>
      </c>
      <c r="W205" s="74"/>
      <c r="X205" s="70"/>
      <c r="Y205" s="74"/>
      <c r="Z205" s="1">
        <v>9102</v>
      </c>
      <c r="AA205" s="112">
        <f>VLOOKUP(Z205,'WRK COMP'!$A$1:$E$17,5,FALSE)</f>
        <v>8.9280000000000002E-3</v>
      </c>
      <c r="AB205" s="76" t="s">
        <v>13</v>
      </c>
      <c r="AC205" s="68">
        <v>0</v>
      </c>
      <c r="AD205" s="68">
        <v>0</v>
      </c>
      <c r="AE205" s="68">
        <v>0</v>
      </c>
      <c r="AF205" s="68">
        <v>0</v>
      </c>
      <c r="AG205" s="68">
        <v>0</v>
      </c>
      <c r="AH205" s="68">
        <v>0</v>
      </c>
      <c r="AI205" s="68">
        <v>0</v>
      </c>
      <c r="AJ205" s="10" t="s">
        <v>49</v>
      </c>
      <c r="AK205" s="10" t="s">
        <v>49</v>
      </c>
      <c r="AL205" s="10" t="s">
        <v>49</v>
      </c>
      <c r="AM205" s="78">
        <f>IF(F205&gt;0.79,IF(ROUNDUP(IF(B205="FS",(V205*HRS!$B$9),(V205*HRS!$L$2))*2,-3)&gt;150000,150000,(ROUNDUP(IF(B205="FS",(V205*HRS!$B$9),(V205*HRS!$L$2))*2,-3))),0)</f>
        <v>0</v>
      </c>
      <c r="AN205" s="188">
        <f t="shared" si="249"/>
        <v>0</v>
      </c>
      <c r="AO205" s="77">
        <f>IF(L205="N",IF(B205="FS",ROUNDUP($V205*HRS!$B$9*'Position Control'!F205,0),ROUNDUP('Position Control'!$V205*HRS!$L$2*'Position Control'!F205,0)),IF('Position Control'!B205="FS",ROUNDUP(('Position Control'!V205*HRS!$B$9*'Position Control'!W205*'Position Control'!F205)+('Position Control'!X205*HRS!$B$9*'Position Control'!Y205*'Position Control'!F205),0),ROUNDUP(('Position Control'!V205*HRS!$L$2*'Position Control'!W205*'Position Control'!F205)+('Position Control'!X205*HRS!$L$2*'Position Control'!Y205*'Position Control'!F205),0)))*'Position Control'!H205</f>
        <v>0</v>
      </c>
      <c r="AP205" s="77">
        <f t="shared" si="250"/>
        <v>0</v>
      </c>
      <c r="AQ205" s="77">
        <f t="shared" si="251"/>
        <v>0</v>
      </c>
      <c r="AR205" s="77">
        <f t="shared" si="252"/>
        <v>0</v>
      </c>
      <c r="AS205" s="77">
        <v>0</v>
      </c>
      <c r="AT205" s="79">
        <f t="shared" si="253"/>
        <v>0</v>
      </c>
      <c r="AU205" s="77">
        <f t="shared" si="254"/>
        <v>0</v>
      </c>
      <c r="AV205" s="77">
        <v>0</v>
      </c>
      <c r="AW205" s="77">
        <f t="shared" si="255"/>
        <v>0</v>
      </c>
      <c r="AX205" s="77">
        <f t="shared" si="256"/>
        <v>0</v>
      </c>
      <c r="AY205" s="77">
        <f t="shared" si="257"/>
        <v>0</v>
      </c>
      <c r="AZ205" s="77">
        <f t="shared" si="258"/>
        <v>0</v>
      </c>
      <c r="BA205" s="77">
        <f t="shared" si="259"/>
        <v>0</v>
      </c>
      <c r="BB205" s="77">
        <f t="shared" si="260"/>
        <v>0</v>
      </c>
      <c r="BC205" s="77">
        <f t="shared" si="270"/>
        <v>0</v>
      </c>
      <c r="BD205" s="77">
        <f t="shared" si="269"/>
        <v>0</v>
      </c>
      <c r="BE205" s="77">
        <v>0</v>
      </c>
      <c r="BF205" s="77">
        <f t="shared" si="261"/>
        <v>0</v>
      </c>
      <c r="BG205" s="77">
        <f>VLOOKUP($AJ205,BENE!$I$2:$N$9,6,FALSE)*'Position Control'!$H205</f>
        <v>0</v>
      </c>
      <c r="BH205" s="77">
        <f>VLOOKUP($AK205,BENE!$A$2:$F$19,6,FALSE)*'Position Control'!$H205</f>
        <v>0</v>
      </c>
      <c r="BI205" s="77">
        <f>VLOOKUP($AK205,BENE!$A$2:$G$19,7,FALSE)*'Position Control'!$H205</f>
        <v>0</v>
      </c>
      <c r="BJ205" s="77">
        <f>VLOOKUP($AL205,BENE!$P$2:$S$6,4,FALSE)*'Position Control'!$H205</f>
        <v>0</v>
      </c>
      <c r="BK205" s="77">
        <f>IF($F205&gt;HRS!$H$2,ROUNDUP(((($AN205+$BE205)*$BK$3)/12*9)+(($AN205+$BE205)*HRS!$B$10/12*3),0),0)*$H205</f>
        <v>0</v>
      </c>
      <c r="BL205" s="80">
        <f t="shared" si="262"/>
        <v>0</v>
      </c>
      <c r="BM205" s="77">
        <f t="shared" si="263"/>
        <v>0</v>
      </c>
      <c r="BN205" s="77">
        <f t="shared" si="264"/>
        <v>0</v>
      </c>
      <c r="BO205" s="77">
        <f t="shared" si="265"/>
        <v>0</v>
      </c>
      <c r="BP205" s="77">
        <f t="shared" si="266"/>
        <v>0</v>
      </c>
      <c r="BQ205" s="77">
        <v>0</v>
      </c>
      <c r="BR205" s="80">
        <f t="shared" si="267"/>
        <v>0</v>
      </c>
    </row>
    <row r="206" spans="1:70" outlineLevel="1" x14ac:dyDescent="0.35">
      <c r="A206" s="10" t="s">
        <v>83</v>
      </c>
      <c r="B206" s="10" t="s">
        <v>581</v>
      </c>
      <c r="C206" s="10" t="s">
        <v>8</v>
      </c>
      <c r="D206" s="10" t="s">
        <v>202</v>
      </c>
      <c r="E206" s="10" t="s">
        <v>216</v>
      </c>
      <c r="F206" s="180">
        <v>0.2</v>
      </c>
      <c r="G206" s="180">
        <v>0</v>
      </c>
      <c r="H206" s="181">
        <v>0</v>
      </c>
      <c r="I206" s="10" t="s">
        <v>84</v>
      </c>
      <c r="J206" s="10" t="s">
        <v>408</v>
      </c>
      <c r="K206" s="10" t="s">
        <v>583</v>
      </c>
      <c r="L206" s="76" t="str">
        <f>IF(M206="","N",STEP!$J$22)</f>
        <v>N</v>
      </c>
      <c r="M206" s="1"/>
      <c r="N206" s="1"/>
      <c r="O206" s="1"/>
      <c r="P206" s="1"/>
      <c r="Q206" s="185">
        <v>20220503</v>
      </c>
      <c r="R206" s="196">
        <v>44836</v>
      </c>
      <c r="S206" s="197">
        <f t="shared" si="247"/>
        <v>0</v>
      </c>
      <c r="T206" s="66">
        <f t="shared" si="248"/>
        <v>0</v>
      </c>
      <c r="U206" s="65"/>
      <c r="V206" s="70">
        <v>10.4095</v>
      </c>
      <c r="W206" s="74"/>
      <c r="X206" s="70"/>
      <c r="Y206" s="74"/>
      <c r="Z206" s="1">
        <v>9102</v>
      </c>
      <c r="AA206" s="112">
        <f>VLOOKUP(Z206,'WRK COMP'!$A$1:$E$17,5,FALSE)</f>
        <v>8.9280000000000002E-3</v>
      </c>
      <c r="AB206" s="76" t="s">
        <v>13</v>
      </c>
      <c r="AC206" s="68">
        <v>0</v>
      </c>
      <c r="AD206" s="68">
        <v>0</v>
      </c>
      <c r="AE206" s="68">
        <v>0</v>
      </c>
      <c r="AF206" s="68">
        <v>0</v>
      </c>
      <c r="AG206" s="68">
        <v>0</v>
      </c>
      <c r="AH206" s="68">
        <v>0</v>
      </c>
      <c r="AI206" s="68">
        <v>0</v>
      </c>
      <c r="AJ206" s="10" t="s">
        <v>49</v>
      </c>
      <c r="AK206" s="10" t="s">
        <v>49</v>
      </c>
      <c r="AL206" s="10" t="s">
        <v>49</v>
      </c>
      <c r="AM206" s="78">
        <f>IF(F206&gt;0.79,IF(ROUNDUP(IF(B206="FS",(V206*HRS!$B$9),(V206*HRS!$L$2))*2,-3)&gt;150000,150000,(ROUNDUP(IF(B206="FS",(V206*HRS!$B$9),(V206*HRS!$L$2))*2,-3))),0)</f>
        <v>0</v>
      </c>
      <c r="AN206" s="188">
        <f t="shared" si="249"/>
        <v>0</v>
      </c>
      <c r="AO206" s="77">
        <f>IF(L206="N",IF(B206="FS",ROUNDUP($V206*HRS!$B$9*'Position Control'!F206,0),ROUNDUP('Position Control'!$V206*HRS!$L$2*'Position Control'!F206,0)),IF('Position Control'!B206="FS",ROUNDUP(('Position Control'!V206*HRS!$B$9*'Position Control'!W206*'Position Control'!F206)+('Position Control'!X206*HRS!$B$9*'Position Control'!Y206*'Position Control'!F206),0),ROUNDUP(('Position Control'!V206*HRS!$L$2*'Position Control'!W206*'Position Control'!F206)+('Position Control'!X206*HRS!$L$2*'Position Control'!Y206*'Position Control'!F206),0)))*'Position Control'!H206</f>
        <v>0</v>
      </c>
      <c r="AP206" s="77">
        <f t="shared" si="250"/>
        <v>0</v>
      </c>
      <c r="AQ206" s="77">
        <f t="shared" si="251"/>
        <v>0</v>
      </c>
      <c r="AR206" s="77">
        <f t="shared" si="252"/>
        <v>0</v>
      </c>
      <c r="AS206" s="77">
        <v>0</v>
      </c>
      <c r="AT206" s="79">
        <f t="shared" si="253"/>
        <v>0</v>
      </c>
      <c r="AU206" s="77">
        <f t="shared" si="254"/>
        <v>0</v>
      </c>
      <c r="AV206" s="77">
        <v>0</v>
      </c>
      <c r="AW206" s="77">
        <f t="shared" si="255"/>
        <v>0</v>
      </c>
      <c r="AX206" s="77">
        <f t="shared" si="256"/>
        <v>0</v>
      </c>
      <c r="AY206" s="77">
        <f t="shared" si="257"/>
        <v>0</v>
      </c>
      <c r="AZ206" s="77">
        <f t="shared" si="258"/>
        <v>0</v>
      </c>
      <c r="BA206" s="77">
        <f t="shared" si="259"/>
        <v>0</v>
      </c>
      <c r="BB206" s="77">
        <f t="shared" si="260"/>
        <v>0</v>
      </c>
      <c r="BC206" s="77">
        <f t="shared" si="270"/>
        <v>0</v>
      </c>
      <c r="BD206" s="77">
        <f t="shared" si="269"/>
        <v>0</v>
      </c>
      <c r="BE206" s="77">
        <v>0</v>
      </c>
      <c r="BF206" s="77">
        <f t="shared" si="261"/>
        <v>0</v>
      </c>
      <c r="BG206" s="77">
        <f>VLOOKUP($AJ206,BENE!$I$2:$N$9,6,FALSE)*'Position Control'!$H206</f>
        <v>0</v>
      </c>
      <c r="BH206" s="77">
        <f>VLOOKUP($AK206,BENE!$A$2:$F$19,6,FALSE)*'Position Control'!$H206</f>
        <v>0</v>
      </c>
      <c r="BI206" s="77">
        <f>VLOOKUP($AK206,BENE!$A$2:$G$19,7,FALSE)*'Position Control'!$H206</f>
        <v>0</v>
      </c>
      <c r="BJ206" s="77">
        <f>VLOOKUP($AL206,BENE!$P$2:$S$6,4,FALSE)*'Position Control'!$H206</f>
        <v>0</v>
      </c>
      <c r="BK206" s="77">
        <f>IF($F206&gt;HRS!$H$2,ROUNDUP(((($AN206+$BE206)*$BK$3)/12*9)+(($AN206+$BE206)*HRS!$B$10/12*3),0),0)*$H206</f>
        <v>0</v>
      </c>
      <c r="BL206" s="80">
        <f t="shared" si="262"/>
        <v>0</v>
      </c>
      <c r="BM206" s="77">
        <f t="shared" si="263"/>
        <v>0</v>
      </c>
      <c r="BN206" s="77">
        <f t="shared" si="264"/>
        <v>0</v>
      </c>
      <c r="BO206" s="77">
        <f t="shared" si="265"/>
        <v>0</v>
      </c>
      <c r="BP206" s="77">
        <f t="shared" si="266"/>
        <v>0</v>
      </c>
      <c r="BQ206" s="77">
        <v>0</v>
      </c>
      <c r="BR206" s="80">
        <f t="shared" si="267"/>
        <v>0</v>
      </c>
    </row>
    <row r="207" spans="1:70" outlineLevel="1" x14ac:dyDescent="0.35">
      <c r="A207" s="10" t="s">
        <v>83</v>
      </c>
      <c r="B207" s="10" t="s">
        <v>581</v>
      </c>
      <c r="C207" s="10" t="s">
        <v>8</v>
      </c>
      <c r="D207" s="10" t="s">
        <v>202</v>
      </c>
      <c r="E207" s="10" t="s">
        <v>216</v>
      </c>
      <c r="F207" s="180">
        <v>0.2</v>
      </c>
      <c r="G207" s="180">
        <v>0</v>
      </c>
      <c r="H207" s="181">
        <v>0</v>
      </c>
      <c r="I207" s="10" t="s">
        <v>84</v>
      </c>
      <c r="J207" s="10" t="s">
        <v>408</v>
      </c>
      <c r="K207" s="10" t="s">
        <v>583</v>
      </c>
      <c r="L207" s="76" t="str">
        <f>IF(M207="","N",STEP!$J$22)</f>
        <v>N</v>
      </c>
      <c r="M207" s="1"/>
      <c r="N207" s="1"/>
      <c r="O207" s="1"/>
      <c r="P207" s="1"/>
      <c r="Q207" s="185">
        <v>20220503</v>
      </c>
      <c r="R207" s="196">
        <v>44836</v>
      </c>
      <c r="S207" s="197">
        <f t="shared" si="247"/>
        <v>0</v>
      </c>
      <c r="T207" s="66">
        <f t="shared" si="248"/>
        <v>0</v>
      </c>
      <c r="U207" s="65"/>
      <c r="V207" s="70">
        <v>10.4095</v>
      </c>
      <c r="W207" s="74"/>
      <c r="X207" s="70"/>
      <c r="Y207" s="74"/>
      <c r="Z207" s="1">
        <v>9102</v>
      </c>
      <c r="AA207" s="112">
        <f>VLOOKUP(Z207,'WRK COMP'!$A$1:$E$17,5,FALSE)</f>
        <v>8.9280000000000002E-3</v>
      </c>
      <c r="AB207" s="76" t="s">
        <v>13</v>
      </c>
      <c r="AC207" s="68">
        <v>0</v>
      </c>
      <c r="AD207" s="68">
        <v>0</v>
      </c>
      <c r="AE207" s="68">
        <v>0</v>
      </c>
      <c r="AF207" s="68">
        <v>0</v>
      </c>
      <c r="AG207" s="68">
        <v>0</v>
      </c>
      <c r="AH207" s="68">
        <v>0</v>
      </c>
      <c r="AI207" s="68">
        <v>0</v>
      </c>
      <c r="AJ207" s="10" t="s">
        <v>49</v>
      </c>
      <c r="AK207" s="10" t="s">
        <v>49</v>
      </c>
      <c r="AL207" s="10" t="s">
        <v>49</v>
      </c>
      <c r="AM207" s="78">
        <f>IF(F207&gt;0.79,IF(ROUNDUP(IF(B207="FS",(V207*HRS!$B$9),(V207*HRS!$L$2))*2,-3)&gt;150000,150000,(ROUNDUP(IF(B207="FS",(V207*HRS!$B$9),(V207*HRS!$L$2))*2,-3))),0)</f>
        <v>0</v>
      </c>
      <c r="AN207" s="188">
        <f t="shared" si="249"/>
        <v>0</v>
      </c>
      <c r="AO207" s="77">
        <f>IF(L207="N",IF(B207="FS",ROUNDUP($V207*HRS!$B$9*'Position Control'!F207,0),ROUNDUP('Position Control'!$V207*HRS!$L$2*'Position Control'!F207,0)),IF('Position Control'!B207="FS",ROUNDUP(('Position Control'!V207*HRS!$B$9*'Position Control'!W207*'Position Control'!F207)+('Position Control'!X207*HRS!$B$9*'Position Control'!Y207*'Position Control'!F207),0),ROUNDUP(('Position Control'!V207*HRS!$L$2*'Position Control'!W207*'Position Control'!F207)+('Position Control'!X207*HRS!$L$2*'Position Control'!Y207*'Position Control'!F207),0)))*'Position Control'!H207</f>
        <v>0</v>
      </c>
      <c r="AP207" s="77">
        <f t="shared" si="250"/>
        <v>0</v>
      </c>
      <c r="AQ207" s="77">
        <f t="shared" si="251"/>
        <v>0</v>
      </c>
      <c r="AR207" s="77">
        <f t="shared" si="252"/>
        <v>0</v>
      </c>
      <c r="AS207" s="77">
        <v>0</v>
      </c>
      <c r="AT207" s="79">
        <f t="shared" si="253"/>
        <v>0</v>
      </c>
      <c r="AU207" s="77">
        <f t="shared" si="254"/>
        <v>0</v>
      </c>
      <c r="AV207" s="77">
        <v>0</v>
      </c>
      <c r="AW207" s="77">
        <f t="shared" si="255"/>
        <v>0</v>
      </c>
      <c r="AX207" s="77">
        <f t="shared" si="256"/>
        <v>0</v>
      </c>
      <c r="AY207" s="77">
        <f t="shared" si="257"/>
        <v>0</v>
      </c>
      <c r="AZ207" s="77">
        <f t="shared" si="258"/>
        <v>0</v>
      </c>
      <c r="BA207" s="77">
        <f t="shared" si="259"/>
        <v>0</v>
      </c>
      <c r="BB207" s="77">
        <f t="shared" si="260"/>
        <v>0</v>
      </c>
      <c r="BC207" s="77">
        <f t="shared" si="270"/>
        <v>0</v>
      </c>
      <c r="BD207" s="77">
        <f t="shared" si="269"/>
        <v>0</v>
      </c>
      <c r="BE207" s="77">
        <v>0</v>
      </c>
      <c r="BF207" s="77">
        <f t="shared" si="261"/>
        <v>0</v>
      </c>
      <c r="BG207" s="77">
        <f>VLOOKUP($AJ207,BENE!$I$2:$N$9,6,FALSE)*'Position Control'!$H207</f>
        <v>0</v>
      </c>
      <c r="BH207" s="77">
        <f>VLOOKUP($AK207,BENE!$A$2:$F$19,6,FALSE)*'Position Control'!$H207</f>
        <v>0</v>
      </c>
      <c r="BI207" s="77">
        <f>VLOOKUP($AK207,BENE!$A$2:$G$19,7,FALSE)*'Position Control'!$H207</f>
        <v>0</v>
      </c>
      <c r="BJ207" s="77">
        <f>VLOOKUP($AL207,BENE!$P$2:$S$6,4,FALSE)*'Position Control'!$H207</f>
        <v>0</v>
      </c>
      <c r="BK207" s="77">
        <f>IF($F207&gt;HRS!$H$2,ROUNDUP(((($AN207+$BE207)*$BK$3)/12*9)+(($AN207+$BE207)*HRS!$B$10/12*3),0),0)*$H207</f>
        <v>0</v>
      </c>
      <c r="BL207" s="80">
        <f t="shared" si="262"/>
        <v>0</v>
      </c>
      <c r="BM207" s="77">
        <f t="shared" si="263"/>
        <v>0</v>
      </c>
      <c r="BN207" s="77">
        <f t="shared" si="264"/>
        <v>0</v>
      </c>
      <c r="BO207" s="77">
        <f t="shared" si="265"/>
        <v>0</v>
      </c>
      <c r="BP207" s="77">
        <f t="shared" si="266"/>
        <v>0</v>
      </c>
      <c r="BQ207" s="77">
        <v>0</v>
      </c>
      <c r="BR207" s="80">
        <f t="shared" si="267"/>
        <v>0</v>
      </c>
    </row>
    <row r="208" spans="1:70" outlineLevel="1" x14ac:dyDescent="0.35">
      <c r="A208" s="10" t="s">
        <v>83</v>
      </c>
      <c r="B208" s="10" t="s">
        <v>581</v>
      </c>
      <c r="C208" s="10" t="s">
        <v>8</v>
      </c>
      <c r="D208" s="10" t="s">
        <v>202</v>
      </c>
      <c r="E208" s="10" t="s">
        <v>216</v>
      </c>
      <c r="F208" s="180">
        <v>0.2</v>
      </c>
      <c r="G208" s="180">
        <v>0</v>
      </c>
      <c r="H208" s="181">
        <v>0</v>
      </c>
      <c r="I208" s="10" t="s">
        <v>84</v>
      </c>
      <c r="J208" s="10" t="s">
        <v>408</v>
      </c>
      <c r="K208" s="10" t="s">
        <v>583</v>
      </c>
      <c r="L208" s="76" t="str">
        <f>IF(M208="","N",STEP!$J$22)</f>
        <v>N</v>
      </c>
      <c r="M208" s="1"/>
      <c r="N208" s="1"/>
      <c r="O208" s="1"/>
      <c r="P208" s="1"/>
      <c r="Q208" s="185">
        <v>20220503</v>
      </c>
      <c r="R208" s="196">
        <v>44836</v>
      </c>
      <c r="S208" s="197">
        <f t="shared" si="247"/>
        <v>0</v>
      </c>
      <c r="T208" s="66">
        <f t="shared" si="248"/>
        <v>0</v>
      </c>
      <c r="U208" s="65"/>
      <c r="V208" s="70">
        <v>10.4095</v>
      </c>
      <c r="W208" s="74"/>
      <c r="X208" s="70"/>
      <c r="Y208" s="74"/>
      <c r="Z208" s="1">
        <v>9102</v>
      </c>
      <c r="AA208" s="112">
        <f>VLOOKUP(Z208,'WRK COMP'!$A$1:$E$17,5,FALSE)</f>
        <v>8.9280000000000002E-3</v>
      </c>
      <c r="AB208" s="76" t="s">
        <v>13</v>
      </c>
      <c r="AC208" s="68">
        <v>0</v>
      </c>
      <c r="AD208" s="68">
        <v>0</v>
      </c>
      <c r="AE208" s="68">
        <v>0</v>
      </c>
      <c r="AF208" s="68">
        <v>0</v>
      </c>
      <c r="AG208" s="68">
        <v>0</v>
      </c>
      <c r="AH208" s="68">
        <v>0</v>
      </c>
      <c r="AI208" s="68">
        <v>0</v>
      </c>
      <c r="AJ208" s="10" t="s">
        <v>49</v>
      </c>
      <c r="AK208" s="10" t="s">
        <v>49</v>
      </c>
      <c r="AL208" s="10" t="s">
        <v>49</v>
      </c>
      <c r="AM208" s="78">
        <f>IF(F208&gt;0.79,IF(ROUNDUP(IF(B208="FS",(V208*HRS!$B$9),(V208*HRS!$L$2))*2,-3)&gt;150000,150000,(ROUNDUP(IF(B208="FS",(V208*HRS!$B$9),(V208*HRS!$L$2))*2,-3))),0)</f>
        <v>0</v>
      </c>
      <c r="AN208" s="188">
        <f t="shared" si="249"/>
        <v>0</v>
      </c>
      <c r="AO208" s="77">
        <f>IF(L208="N",IF(B208="FS",ROUNDUP($V208*HRS!$B$9*'Position Control'!F208,0),ROUNDUP('Position Control'!$V208*HRS!$L$2*'Position Control'!F208,0)),IF('Position Control'!B208="FS",ROUNDUP(('Position Control'!V208*HRS!$B$9*'Position Control'!W208*'Position Control'!F208)+('Position Control'!X208*HRS!$B$9*'Position Control'!Y208*'Position Control'!F208),0),ROUNDUP(('Position Control'!V208*HRS!$L$2*'Position Control'!W208*'Position Control'!F208)+('Position Control'!X208*HRS!$L$2*'Position Control'!Y208*'Position Control'!F208),0)))*'Position Control'!H208</f>
        <v>0</v>
      </c>
      <c r="AP208" s="77">
        <f t="shared" si="250"/>
        <v>0</v>
      </c>
      <c r="AQ208" s="77">
        <f t="shared" si="251"/>
        <v>0</v>
      </c>
      <c r="AR208" s="77">
        <f t="shared" si="252"/>
        <v>0</v>
      </c>
      <c r="AS208" s="77">
        <v>0</v>
      </c>
      <c r="AT208" s="79">
        <f t="shared" si="253"/>
        <v>0</v>
      </c>
      <c r="AU208" s="77">
        <f t="shared" si="254"/>
        <v>0</v>
      </c>
      <c r="AV208" s="77">
        <v>0</v>
      </c>
      <c r="AW208" s="77">
        <f t="shared" si="255"/>
        <v>0</v>
      </c>
      <c r="AX208" s="77">
        <f t="shared" si="256"/>
        <v>0</v>
      </c>
      <c r="AY208" s="77">
        <f t="shared" si="257"/>
        <v>0</v>
      </c>
      <c r="AZ208" s="77">
        <f t="shared" si="258"/>
        <v>0</v>
      </c>
      <c r="BA208" s="77">
        <f t="shared" si="259"/>
        <v>0</v>
      </c>
      <c r="BB208" s="77">
        <f t="shared" si="260"/>
        <v>0</v>
      </c>
      <c r="BC208" s="77">
        <f t="shared" si="270"/>
        <v>0</v>
      </c>
      <c r="BD208" s="77">
        <f t="shared" si="269"/>
        <v>0</v>
      </c>
      <c r="BE208" s="77">
        <v>0</v>
      </c>
      <c r="BF208" s="77">
        <f t="shared" si="261"/>
        <v>0</v>
      </c>
      <c r="BG208" s="77">
        <f>VLOOKUP($AJ208,BENE!$I$2:$N$9,6,FALSE)*'Position Control'!$H208</f>
        <v>0</v>
      </c>
      <c r="BH208" s="77">
        <f>VLOOKUP($AK208,BENE!$A$2:$F$19,6,FALSE)*'Position Control'!$H208</f>
        <v>0</v>
      </c>
      <c r="BI208" s="77">
        <f>VLOOKUP($AK208,BENE!$A$2:$G$19,7,FALSE)*'Position Control'!$H208</f>
        <v>0</v>
      </c>
      <c r="BJ208" s="77">
        <f>VLOOKUP($AL208,BENE!$P$2:$S$6,4,FALSE)*'Position Control'!$H208</f>
        <v>0</v>
      </c>
      <c r="BK208" s="77">
        <f>IF($F208&gt;HRS!$H$2,ROUNDUP(((($AN208+$BE208)*$BK$3)/12*9)+(($AN208+$BE208)*HRS!$B$10/12*3),0),0)*$H208</f>
        <v>0</v>
      </c>
      <c r="BL208" s="80">
        <f t="shared" si="262"/>
        <v>0</v>
      </c>
      <c r="BM208" s="77">
        <f t="shared" si="263"/>
        <v>0</v>
      </c>
      <c r="BN208" s="77">
        <f t="shared" si="264"/>
        <v>0</v>
      </c>
      <c r="BO208" s="77">
        <f t="shared" si="265"/>
        <v>0</v>
      </c>
      <c r="BP208" s="77">
        <f t="shared" si="266"/>
        <v>0</v>
      </c>
      <c r="BQ208" s="77">
        <v>0</v>
      </c>
      <c r="BR208" s="80">
        <f t="shared" si="267"/>
        <v>0</v>
      </c>
    </row>
    <row r="209" spans="1:70" outlineLevel="1" x14ac:dyDescent="0.35">
      <c r="A209" s="10" t="s">
        <v>83</v>
      </c>
      <c r="B209" s="10" t="s">
        <v>581</v>
      </c>
      <c r="C209" s="10" t="s">
        <v>8</v>
      </c>
      <c r="D209" s="10" t="s">
        <v>202</v>
      </c>
      <c r="E209" s="10" t="s">
        <v>216</v>
      </c>
      <c r="F209" s="180">
        <v>0.2</v>
      </c>
      <c r="G209" s="180">
        <v>0</v>
      </c>
      <c r="H209" s="181">
        <v>0</v>
      </c>
      <c r="I209" s="10" t="s">
        <v>84</v>
      </c>
      <c r="J209" s="10" t="s">
        <v>408</v>
      </c>
      <c r="K209" s="10" t="s">
        <v>583</v>
      </c>
      <c r="L209" s="76" t="str">
        <f>IF(M209="","N",STEP!$J$22)</f>
        <v>N</v>
      </c>
      <c r="M209" s="1"/>
      <c r="N209" s="1"/>
      <c r="O209" s="1"/>
      <c r="P209" s="1"/>
      <c r="Q209" s="185">
        <v>20220503</v>
      </c>
      <c r="R209" s="196">
        <v>44836</v>
      </c>
      <c r="S209" s="197">
        <f t="shared" si="247"/>
        <v>0</v>
      </c>
      <c r="T209" s="66">
        <f t="shared" si="248"/>
        <v>0</v>
      </c>
      <c r="U209" s="65"/>
      <c r="V209" s="70">
        <v>10.4095</v>
      </c>
      <c r="W209" s="74"/>
      <c r="X209" s="70"/>
      <c r="Y209" s="74"/>
      <c r="Z209" s="1">
        <v>9102</v>
      </c>
      <c r="AA209" s="112">
        <f>VLOOKUP(Z209,'WRK COMP'!$A$1:$E$17,5,FALSE)</f>
        <v>8.9280000000000002E-3</v>
      </c>
      <c r="AB209" s="76" t="s">
        <v>13</v>
      </c>
      <c r="AC209" s="68">
        <v>0</v>
      </c>
      <c r="AD209" s="68">
        <v>0</v>
      </c>
      <c r="AE209" s="68">
        <v>0</v>
      </c>
      <c r="AF209" s="68">
        <v>0</v>
      </c>
      <c r="AG209" s="68">
        <v>0</v>
      </c>
      <c r="AH209" s="68">
        <v>0</v>
      </c>
      <c r="AI209" s="68">
        <v>0</v>
      </c>
      <c r="AJ209" s="10" t="s">
        <v>49</v>
      </c>
      <c r="AK209" s="10" t="s">
        <v>49</v>
      </c>
      <c r="AL209" s="10" t="s">
        <v>49</v>
      </c>
      <c r="AM209" s="78">
        <f>IF(F209&gt;0.79,IF(ROUNDUP(IF(B209="FS",(V209*HRS!$B$9),(V209*HRS!$L$2))*2,-3)&gt;150000,150000,(ROUNDUP(IF(B209="FS",(V209*HRS!$B$9),(V209*HRS!$L$2))*2,-3))),0)</f>
        <v>0</v>
      </c>
      <c r="AN209" s="188">
        <f t="shared" si="249"/>
        <v>0</v>
      </c>
      <c r="AO209" s="77">
        <f>IF(L209="N",IF(B209="FS",ROUNDUP($V209*HRS!$B$9*'Position Control'!F209,0),ROUNDUP('Position Control'!$V209*HRS!$L$2*'Position Control'!F209,0)),IF('Position Control'!B209="FS",ROUNDUP(('Position Control'!V209*HRS!$B$9*'Position Control'!W209*'Position Control'!F209)+('Position Control'!X209*HRS!$B$9*'Position Control'!Y209*'Position Control'!F209),0),ROUNDUP(('Position Control'!V209*HRS!$L$2*'Position Control'!W209*'Position Control'!F209)+('Position Control'!X209*HRS!$L$2*'Position Control'!Y209*'Position Control'!F209),0)))*'Position Control'!H209</f>
        <v>0</v>
      </c>
      <c r="AP209" s="77">
        <f t="shared" si="250"/>
        <v>0</v>
      </c>
      <c r="AQ209" s="77">
        <f t="shared" si="251"/>
        <v>0</v>
      </c>
      <c r="AR209" s="77">
        <f t="shared" si="252"/>
        <v>0</v>
      </c>
      <c r="AS209" s="77">
        <v>0</v>
      </c>
      <c r="AT209" s="79">
        <f t="shared" si="253"/>
        <v>0</v>
      </c>
      <c r="AU209" s="77">
        <f t="shared" si="254"/>
        <v>0</v>
      </c>
      <c r="AV209" s="77">
        <v>0</v>
      </c>
      <c r="AW209" s="77">
        <f t="shared" si="255"/>
        <v>0</v>
      </c>
      <c r="AX209" s="77">
        <f t="shared" si="256"/>
        <v>0</v>
      </c>
      <c r="AY209" s="77">
        <f t="shared" si="257"/>
        <v>0</v>
      </c>
      <c r="AZ209" s="77">
        <f t="shared" si="258"/>
        <v>0</v>
      </c>
      <c r="BA209" s="77">
        <f t="shared" si="259"/>
        <v>0</v>
      </c>
      <c r="BB209" s="77">
        <f t="shared" si="260"/>
        <v>0</v>
      </c>
      <c r="BC209" s="77">
        <f t="shared" si="270"/>
        <v>0</v>
      </c>
      <c r="BD209" s="77">
        <f t="shared" si="269"/>
        <v>0</v>
      </c>
      <c r="BE209" s="77">
        <v>0</v>
      </c>
      <c r="BF209" s="77">
        <f t="shared" si="261"/>
        <v>0</v>
      </c>
      <c r="BG209" s="77">
        <f>VLOOKUP($AJ209,BENE!$I$2:$N$9,6,FALSE)*'Position Control'!$H209</f>
        <v>0</v>
      </c>
      <c r="BH209" s="77">
        <f>VLOOKUP($AK209,BENE!$A$2:$F$19,6,FALSE)*'Position Control'!$H209</f>
        <v>0</v>
      </c>
      <c r="BI209" s="77">
        <f>VLOOKUP($AK209,BENE!$A$2:$G$19,7,FALSE)*'Position Control'!$H209</f>
        <v>0</v>
      </c>
      <c r="BJ209" s="77">
        <f>VLOOKUP($AL209,BENE!$P$2:$S$6,4,FALSE)*'Position Control'!$H209</f>
        <v>0</v>
      </c>
      <c r="BK209" s="77">
        <f>IF($F209&gt;HRS!$H$2,ROUNDUP(((($AN209+$BE209)*$BK$3)/12*9)+(($AN209+$BE209)*HRS!$B$10/12*3),0),0)*$H209</f>
        <v>0</v>
      </c>
      <c r="BL209" s="80">
        <f t="shared" si="262"/>
        <v>0</v>
      </c>
      <c r="BM209" s="77">
        <f t="shared" si="263"/>
        <v>0</v>
      </c>
      <c r="BN209" s="77">
        <f t="shared" si="264"/>
        <v>0</v>
      </c>
      <c r="BO209" s="77">
        <f t="shared" si="265"/>
        <v>0</v>
      </c>
      <c r="BP209" s="77">
        <f t="shared" si="266"/>
        <v>0</v>
      </c>
      <c r="BQ209" s="77">
        <v>0</v>
      </c>
      <c r="BR209" s="80">
        <f t="shared" si="267"/>
        <v>0</v>
      </c>
    </row>
    <row r="210" spans="1:70" outlineLevel="1" x14ac:dyDescent="0.35">
      <c r="A210" s="10" t="s">
        <v>83</v>
      </c>
      <c r="B210" s="10" t="s">
        <v>581</v>
      </c>
      <c r="C210" s="10" t="s">
        <v>8</v>
      </c>
      <c r="D210" s="10" t="s">
        <v>202</v>
      </c>
      <c r="E210" s="10" t="s">
        <v>216</v>
      </c>
      <c r="F210" s="180">
        <v>0.2</v>
      </c>
      <c r="G210" s="180">
        <v>0</v>
      </c>
      <c r="H210" s="181">
        <v>0</v>
      </c>
      <c r="I210" s="10" t="s">
        <v>84</v>
      </c>
      <c r="J210" s="10" t="s">
        <v>408</v>
      </c>
      <c r="K210" s="10" t="s">
        <v>583</v>
      </c>
      <c r="L210" s="76" t="str">
        <f>IF(M210="","N",STEP!$J$22)</f>
        <v>N</v>
      </c>
      <c r="M210" s="1"/>
      <c r="N210" s="1"/>
      <c r="O210" s="1"/>
      <c r="P210" s="1"/>
      <c r="Q210" s="185">
        <v>20220503</v>
      </c>
      <c r="R210" s="196">
        <v>44836</v>
      </c>
      <c r="S210" s="197">
        <f t="shared" si="247"/>
        <v>0</v>
      </c>
      <c r="T210" s="66">
        <f t="shared" si="248"/>
        <v>0</v>
      </c>
      <c r="U210" s="65"/>
      <c r="V210" s="70">
        <v>10.4095</v>
      </c>
      <c r="W210" s="74"/>
      <c r="X210" s="70"/>
      <c r="Y210" s="74"/>
      <c r="Z210" s="1">
        <v>9102</v>
      </c>
      <c r="AA210" s="112">
        <f>VLOOKUP(Z210,'WRK COMP'!$A$1:$E$17,5,FALSE)</f>
        <v>8.9280000000000002E-3</v>
      </c>
      <c r="AB210" s="76" t="s">
        <v>13</v>
      </c>
      <c r="AC210" s="68">
        <v>0</v>
      </c>
      <c r="AD210" s="68">
        <v>0</v>
      </c>
      <c r="AE210" s="68">
        <v>0</v>
      </c>
      <c r="AF210" s="68">
        <v>0</v>
      </c>
      <c r="AG210" s="68">
        <v>0</v>
      </c>
      <c r="AH210" s="68">
        <v>0</v>
      </c>
      <c r="AI210" s="68">
        <v>0</v>
      </c>
      <c r="AJ210" s="10" t="s">
        <v>49</v>
      </c>
      <c r="AK210" s="10" t="s">
        <v>49</v>
      </c>
      <c r="AL210" s="10" t="s">
        <v>49</v>
      </c>
      <c r="AM210" s="78">
        <f>IF(F210&gt;0.79,IF(ROUNDUP(IF(B210="FS",(V210*HRS!$B$9),(V210*HRS!$L$2))*2,-3)&gt;150000,150000,(ROUNDUP(IF(B210="FS",(V210*HRS!$B$9),(V210*HRS!$L$2))*2,-3))),0)</f>
        <v>0</v>
      </c>
      <c r="AN210" s="188">
        <f t="shared" si="249"/>
        <v>0</v>
      </c>
      <c r="AO210" s="77">
        <f>IF(L210="N",IF(B210="FS",ROUNDUP($V210*HRS!$B$9*'Position Control'!F210,0),ROUNDUP('Position Control'!$V210*HRS!$L$2*'Position Control'!F210,0)),IF('Position Control'!B210="FS",ROUNDUP(('Position Control'!V210*HRS!$B$9*'Position Control'!W210*'Position Control'!F210)+('Position Control'!X210*HRS!$B$9*'Position Control'!Y210*'Position Control'!F210),0),ROUNDUP(('Position Control'!V210*HRS!$L$2*'Position Control'!W210*'Position Control'!F210)+('Position Control'!X210*HRS!$L$2*'Position Control'!Y210*'Position Control'!F210),0)))*'Position Control'!H210</f>
        <v>0</v>
      </c>
      <c r="AP210" s="77">
        <f t="shared" si="250"/>
        <v>0</v>
      </c>
      <c r="AQ210" s="77">
        <f t="shared" si="251"/>
        <v>0</v>
      </c>
      <c r="AR210" s="77">
        <f t="shared" si="252"/>
        <v>0</v>
      </c>
      <c r="AS210" s="77">
        <v>0</v>
      </c>
      <c r="AT210" s="79">
        <f t="shared" si="253"/>
        <v>0</v>
      </c>
      <c r="AU210" s="77">
        <f t="shared" si="254"/>
        <v>0</v>
      </c>
      <c r="AV210" s="77">
        <v>0</v>
      </c>
      <c r="AW210" s="77">
        <f t="shared" si="255"/>
        <v>0</v>
      </c>
      <c r="AX210" s="77">
        <f t="shared" si="256"/>
        <v>0</v>
      </c>
      <c r="AY210" s="77">
        <f t="shared" si="257"/>
        <v>0</v>
      </c>
      <c r="AZ210" s="77">
        <f t="shared" si="258"/>
        <v>0</v>
      </c>
      <c r="BA210" s="77">
        <f t="shared" si="259"/>
        <v>0</v>
      </c>
      <c r="BB210" s="77">
        <f t="shared" si="260"/>
        <v>0</v>
      </c>
      <c r="BC210" s="77">
        <f t="shared" si="270"/>
        <v>0</v>
      </c>
      <c r="BD210" s="77">
        <f t="shared" si="269"/>
        <v>0</v>
      </c>
      <c r="BE210" s="77">
        <v>0</v>
      </c>
      <c r="BF210" s="77">
        <f t="shared" si="261"/>
        <v>0</v>
      </c>
      <c r="BG210" s="77">
        <f>VLOOKUP($AJ210,BENE!$I$2:$N$9,6,FALSE)*'Position Control'!$H210</f>
        <v>0</v>
      </c>
      <c r="BH210" s="77">
        <f>VLOOKUP($AK210,BENE!$A$2:$F$19,6,FALSE)*'Position Control'!$H210</f>
        <v>0</v>
      </c>
      <c r="BI210" s="77">
        <f>VLOOKUP($AK210,BENE!$A$2:$G$19,7,FALSE)*'Position Control'!$H210</f>
        <v>0</v>
      </c>
      <c r="BJ210" s="77">
        <f>VLOOKUP($AL210,BENE!$P$2:$S$6,4,FALSE)*'Position Control'!$H210</f>
        <v>0</v>
      </c>
      <c r="BK210" s="77">
        <f>IF($F210&gt;HRS!$H$2,ROUNDUP(((($AN210+$BE210)*$BK$3)/12*9)+(($AN210+$BE210)*HRS!$B$10/12*3),0),0)*$H210</f>
        <v>0</v>
      </c>
      <c r="BL210" s="80">
        <f t="shared" si="262"/>
        <v>0</v>
      </c>
      <c r="BM210" s="77">
        <f t="shared" si="263"/>
        <v>0</v>
      </c>
      <c r="BN210" s="77">
        <f t="shared" si="264"/>
        <v>0</v>
      </c>
      <c r="BO210" s="77">
        <f t="shared" si="265"/>
        <v>0</v>
      </c>
      <c r="BP210" s="77">
        <f t="shared" si="266"/>
        <v>0</v>
      </c>
      <c r="BQ210" s="77">
        <v>0</v>
      </c>
      <c r="BR210" s="80">
        <f t="shared" si="267"/>
        <v>0</v>
      </c>
    </row>
    <row r="211" spans="1:70" outlineLevel="1" x14ac:dyDescent="0.35">
      <c r="A211" s="1" t="s">
        <v>6</v>
      </c>
      <c r="B211" s="1" t="s">
        <v>7</v>
      </c>
      <c r="C211" s="1" t="s">
        <v>8</v>
      </c>
      <c r="D211" s="1" t="s">
        <v>202</v>
      </c>
      <c r="E211" s="1" t="s">
        <v>216</v>
      </c>
      <c r="F211" s="2">
        <v>1</v>
      </c>
      <c r="G211" s="66">
        <v>0</v>
      </c>
      <c r="H211" s="66">
        <v>1</v>
      </c>
      <c r="I211" s="10" t="s">
        <v>409</v>
      </c>
      <c r="J211" s="10" t="s">
        <v>410</v>
      </c>
      <c r="K211" s="1"/>
      <c r="L211" s="76" t="str">
        <f>IF(M211="","N",STEP!$J$22)</f>
        <v>N</v>
      </c>
      <c r="M211" s="1"/>
      <c r="N211" s="1"/>
      <c r="O211" s="1"/>
      <c r="P211" s="1"/>
      <c r="Q211" s="185">
        <v>20221002</v>
      </c>
      <c r="R211" s="196">
        <v>44836</v>
      </c>
      <c r="S211" s="197">
        <f t="shared" si="247"/>
        <v>0</v>
      </c>
      <c r="T211" s="66">
        <f t="shared" si="248"/>
        <v>0</v>
      </c>
      <c r="U211" s="1"/>
      <c r="V211" s="70">
        <v>0</v>
      </c>
      <c r="W211" s="74" t="str">
        <f>IF(U211="","",(1-Y211))</f>
        <v/>
      </c>
      <c r="X211" s="70"/>
      <c r="Y211" s="74" t="str">
        <f>IF(L211="Y",(20221001-U211)/10000,"")</f>
        <v/>
      </c>
      <c r="Z211" s="1">
        <v>9102</v>
      </c>
      <c r="AA211" s="112">
        <f>VLOOKUP(Z211,'WRK COMP'!$A$1:$E$17,5,FALSE)</f>
        <v>8.9280000000000002E-3</v>
      </c>
      <c r="AB211" s="76" t="s">
        <v>13</v>
      </c>
      <c r="AC211" s="68">
        <v>0</v>
      </c>
      <c r="AD211" s="68">
        <v>0</v>
      </c>
      <c r="AE211" s="68">
        <v>0</v>
      </c>
      <c r="AF211" s="68">
        <v>0</v>
      </c>
      <c r="AG211" s="68">
        <v>0</v>
      </c>
      <c r="AH211" s="68">
        <v>0</v>
      </c>
      <c r="AI211" s="68">
        <v>0</v>
      </c>
      <c r="AJ211" s="10" t="s">
        <v>49</v>
      </c>
      <c r="AK211" s="10" t="s">
        <v>49</v>
      </c>
      <c r="AL211" s="10" t="s">
        <v>49</v>
      </c>
      <c r="AM211" s="78">
        <f>IF(F211&gt;0.79,IF(ROUNDUP(IF(B211="FS",(V211*HRS!$B$9),(V211*HRS!$L$2))*2,-3)&gt;150000,150000,(ROUNDUP(IF(B211="FS",(V211*HRS!$B$9),(V211*HRS!$L$2))*2,-3))),0)</f>
        <v>0</v>
      </c>
      <c r="AN211" s="188">
        <f t="shared" si="249"/>
        <v>0</v>
      </c>
      <c r="AO211" s="77">
        <f>IF(L211="N",IF(B211="FS",ROUNDUP($V211*HRS!$B$9*'Position Control'!F211,0),ROUNDUP('Position Control'!$V211*HRS!$L$2*'Position Control'!F211,0)),IF('Position Control'!B211="FS",ROUNDUP(('Position Control'!V211*HRS!$B$9*'Position Control'!W211*'Position Control'!F211)+('Position Control'!X211*HRS!$B$9*'Position Control'!Y211*'Position Control'!F211),0),ROUNDUP(('Position Control'!V211*HRS!$L$2*'Position Control'!W211*'Position Control'!F211)+('Position Control'!X211*HRS!$L$2*'Position Control'!Y211*'Position Control'!F211),0)))*'Position Control'!H211</f>
        <v>0</v>
      </c>
      <c r="AP211" s="77">
        <f t="shared" si="250"/>
        <v>0</v>
      </c>
      <c r="AQ211" s="77">
        <f t="shared" si="251"/>
        <v>0</v>
      </c>
      <c r="AR211" s="77">
        <f t="shared" si="252"/>
        <v>0</v>
      </c>
      <c r="AS211" s="77">
        <v>0</v>
      </c>
      <c r="AT211" s="79">
        <f t="shared" si="253"/>
        <v>0</v>
      </c>
      <c r="AU211" s="77">
        <f t="shared" si="254"/>
        <v>0</v>
      </c>
      <c r="AV211" s="77">
        <v>0</v>
      </c>
      <c r="AW211" s="77">
        <f t="shared" si="255"/>
        <v>0</v>
      </c>
      <c r="AX211" s="77">
        <f t="shared" si="256"/>
        <v>0</v>
      </c>
      <c r="AY211" s="77">
        <f t="shared" si="257"/>
        <v>0</v>
      </c>
      <c r="AZ211" s="77">
        <f t="shared" si="258"/>
        <v>0</v>
      </c>
      <c r="BA211" s="77">
        <f t="shared" si="259"/>
        <v>0</v>
      </c>
      <c r="BB211" s="77">
        <f t="shared" si="260"/>
        <v>0</v>
      </c>
      <c r="BC211" s="77">
        <f t="shared" si="270"/>
        <v>0</v>
      </c>
      <c r="BD211" s="77">
        <f t="shared" si="269"/>
        <v>0</v>
      </c>
      <c r="BE211" s="77">
        <f>'DIVISION BUDGETS'!D27</f>
        <v>9000</v>
      </c>
      <c r="BF211" s="77">
        <f t="shared" si="261"/>
        <v>0</v>
      </c>
      <c r="BG211" s="77">
        <f>VLOOKUP($AJ211,BENE!$I$2:$N$9,6,FALSE)*'Position Control'!$H211</f>
        <v>0</v>
      </c>
      <c r="BH211" s="77">
        <f>VLOOKUP($AK211,BENE!$A$2:$F$19,6,FALSE)*'Position Control'!$H211</f>
        <v>0</v>
      </c>
      <c r="BI211" s="77">
        <f>VLOOKUP($AK211,BENE!$A$2:$G$19,7,FALSE)*'Position Control'!$H211</f>
        <v>0</v>
      </c>
      <c r="BJ211" s="77">
        <f>VLOOKUP($AL211,BENE!$P$2:$S$6,4,FALSE)*'Position Control'!$H211</f>
        <v>0</v>
      </c>
      <c r="BK211" s="77">
        <f>IF($F211&gt;HRS!$H$2,ROUNDUP(((($AN211+$BE211)*$BK$3)/12*9)+(($AN211+$BE211)*HRS!$B$10/12*3),0),0)*$H211</f>
        <v>1518</v>
      </c>
      <c r="BL211" s="80">
        <f t="shared" si="262"/>
        <v>0</v>
      </c>
      <c r="BM211" s="77">
        <f t="shared" si="263"/>
        <v>0</v>
      </c>
      <c r="BN211" s="77">
        <f t="shared" si="264"/>
        <v>0</v>
      </c>
      <c r="BO211" s="77">
        <f t="shared" si="265"/>
        <v>0</v>
      </c>
      <c r="BP211" s="77">
        <f t="shared" si="266"/>
        <v>0</v>
      </c>
      <c r="BQ211" s="77">
        <f>'DIVISION BUDGETS'!G27</f>
        <v>240</v>
      </c>
      <c r="BR211" s="80">
        <f t="shared" si="267"/>
        <v>10758</v>
      </c>
    </row>
    <row r="212" spans="1:70" s="171" customFormat="1" x14ac:dyDescent="0.35">
      <c r="A212" s="161"/>
      <c r="B212" s="161"/>
      <c r="C212" s="161"/>
      <c r="D212" s="161"/>
      <c r="E212" s="161"/>
      <c r="F212" s="162"/>
      <c r="G212" s="163">
        <f>SUBTOTAL(9,G188:G211)</f>
        <v>9.48</v>
      </c>
      <c r="H212" s="163"/>
      <c r="I212" s="161" t="s">
        <v>562</v>
      </c>
      <c r="J212" s="161"/>
      <c r="K212" s="161"/>
      <c r="L212" s="164"/>
      <c r="M212" s="161"/>
      <c r="N212" s="161"/>
      <c r="O212" s="161"/>
      <c r="P212" s="161"/>
      <c r="Q212" s="186"/>
      <c r="R212" s="200"/>
      <c r="S212" s="208"/>
      <c r="T212" s="163"/>
      <c r="U212" s="161"/>
      <c r="V212" s="165"/>
      <c r="W212" s="166"/>
      <c r="X212" s="165"/>
      <c r="Y212" s="166"/>
      <c r="Z212" s="161"/>
      <c r="AA212" s="167"/>
      <c r="AB212" s="164"/>
      <c r="AC212" s="168"/>
      <c r="AD212" s="168"/>
      <c r="AE212" s="168"/>
      <c r="AF212" s="168"/>
      <c r="AG212" s="168"/>
      <c r="AH212" s="168"/>
      <c r="AI212" s="168"/>
      <c r="AJ212" s="161"/>
      <c r="AK212" s="161"/>
      <c r="AL212" s="161"/>
      <c r="AM212" s="169"/>
      <c r="AN212" s="189">
        <f t="shared" ref="AN212:BR212" si="271">SUBTOTAL(9,AN188:AN211)</f>
        <v>295561</v>
      </c>
      <c r="AO212" s="170">
        <f t="shared" si="271"/>
        <v>294210.5</v>
      </c>
      <c r="AP212" s="170">
        <f t="shared" si="271"/>
        <v>0</v>
      </c>
      <c r="AQ212" s="170">
        <f t="shared" si="271"/>
        <v>1350.5</v>
      </c>
      <c r="AR212" s="170">
        <f t="shared" si="271"/>
        <v>0</v>
      </c>
      <c r="AS212" s="170">
        <f t="shared" si="271"/>
        <v>0</v>
      </c>
      <c r="AT212" s="170">
        <f t="shared" si="271"/>
        <v>0</v>
      </c>
      <c r="AU212" s="170">
        <f t="shared" si="271"/>
        <v>0</v>
      </c>
      <c r="AV212" s="170">
        <f t="shared" si="271"/>
        <v>0</v>
      </c>
      <c r="AW212" s="170">
        <f t="shared" si="271"/>
        <v>0</v>
      </c>
      <c r="AX212" s="170">
        <f t="shared" si="271"/>
        <v>0</v>
      </c>
      <c r="AY212" s="170">
        <f t="shared" si="271"/>
        <v>0</v>
      </c>
      <c r="AZ212" s="170">
        <f t="shared" si="271"/>
        <v>0</v>
      </c>
      <c r="BA212" s="170">
        <f t="shared" si="271"/>
        <v>0</v>
      </c>
      <c r="BB212" s="170">
        <f t="shared" si="271"/>
        <v>0</v>
      </c>
      <c r="BC212" s="170">
        <f t="shared" si="271"/>
        <v>0</v>
      </c>
      <c r="BD212" s="170">
        <f t="shared" si="271"/>
        <v>2625</v>
      </c>
      <c r="BE212" s="170">
        <f t="shared" si="271"/>
        <v>9000</v>
      </c>
      <c r="BF212" s="170">
        <f t="shared" si="271"/>
        <v>660.59999999999991</v>
      </c>
      <c r="BG212" s="170">
        <f t="shared" si="271"/>
        <v>2082.5</v>
      </c>
      <c r="BH212" s="170">
        <f t="shared" si="271"/>
        <v>48789.5</v>
      </c>
      <c r="BI212" s="170">
        <f t="shared" si="271"/>
        <v>2250</v>
      </c>
      <c r="BJ212" s="170">
        <f t="shared" si="271"/>
        <v>672</v>
      </c>
      <c r="BK212" s="170">
        <f t="shared" si="271"/>
        <v>44123.5</v>
      </c>
      <c r="BL212" s="170">
        <f t="shared" si="271"/>
        <v>2189.5</v>
      </c>
      <c r="BM212" s="170">
        <f t="shared" si="271"/>
        <v>936</v>
      </c>
      <c r="BN212" s="170">
        <f t="shared" si="271"/>
        <v>3667.5</v>
      </c>
      <c r="BO212" s="170">
        <f t="shared" si="271"/>
        <v>454.5</v>
      </c>
      <c r="BP212" s="170">
        <f t="shared" si="271"/>
        <v>2750</v>
      </c>
      <c r="BQ212" s="170">
        <f t="shared" si="271"/>
        <v>240</v>
      </c>
      <c r="BR212" s="170">
        <f t="shared" si="271"/>
        <v>416001.6</v>
      </c>
    </row>
    <row r="213" spans="1:70" s="9" customFormat="1" outlineLevel="1" x14ac:dyDescent="0.35">
      <c r="A213" s="10" t="s">
        <v>83</v>
      </c>
      <c r="B213" s="10" t="s">
        <v>581</v>
      </c>
      <c r="C213" s="10" t="s">
        <v>8</v>
      </c>
      <c r="D213" s="10" t="s">
        <v>202</v>
      </c>
      <c r="E213" s="10" t="s">
        <v>56</v>
      </c>
      <c r="F213" s="180">
        <v>0.21</v>
      </c>
      <c r="G213" s="183">
        <v>0.21</v>
      </c>
      <c r="H213" s="180">
        <v>1</v>
      </c>
      <c r="I213" s="184" t="s">
        <v>84</v>
      </c>
      <c r="J213" s="184" t="s">
        <v>408</v>
      </c>
      <c r="K213" s="10" t="s">
        <v>600</v>
      </c>
      <c r="L213" s="114" t="s">
        <v>51</v>
      </c>
      <c r="M213" s="10"/>
      <c r="N213" s="10"/>
      <c r="O213" s="10"/>
      <c r="P213" s="10"/>
      <c r="Q213" s="185">
        <v>20220501</v>
      </c>
      <c r="R213" s="196">
        <v>44836</v>
      </c>
      <c r="S213" s="197">
        <f t="shared" ref="S213:S221" si="272">IF(A213="FT",IF(R213&gt;$S$1,0,(DATEDIF(R213,$S$1,"M"))),0)</f>
        <v>0</v>
      </c>
      <c r="T213" s="66">
        <f t="shared" ref="T213:T221" si="273">ROUNDDOWN(IF(A213="FT",DATEDIF(R213,$T$1,"y"),0),0)</f>
        <v>0</v>
      </c>
      <c r="U213" s="10"/>
      <c r="V213" s="182">
        <v>15.379200000000001</v>
      </c>
      <c r="W213" s="74"/>
      <c r="X213" s="182"/>
      <c r="Y213" s="74"/>
      <c r="Z213" s="1">
        <v>9102</v>
      </c>
      <c r="AA213" s="112">
        <f>VLOOKUP(Z213,'WRK COMP'!$A$1:$E$17,5,FALSE)</f>
        <v>8.9280000000000002E-3</v>
      </c>
      <c r="AB213" s="76" t="s">
        <v>13</v>
      </c>
      <c r="AC213" s="68">
        <v>0</v>
      </c>
      <c r="AD213" s="68">
        <v>0</v>
      </c>
      <c r="AE213" s="68">
        <v>0</v>
      </c>
      <c r="AF213" s="68">
        <v>0</v>
      </c>
      <c r="AG213" s="68">
        <v>0</v>
      </c>
      <c r="AH213" s="68">
        <v>0</v>
      </c>
      <c r="AI213" s="68">
        <v>0</v>
      </c>
      <c r="AJ213" s="10" t="s">
        <v>49</v>
      </c>
      <c r="AK213" s="10" t="s">
        <v>49</v>
      </c>
      <c r="AL213" s="10" t="s">
        <v>49</v>
      </c>
      <c r="AM213" s="78">
        <f>IF(F213&gt;0.79,IF(ROUNDUP(IF(B213="FS",(V213*HRS!$B$9),(V213*HRS!$L$2))*2,-3)&gt;150000,150000,(ROUNDUP(IF(B213="FS",(V213*HRS!$B$9),(V213*HRS!$L$2))*2,-3))),0)</f>
        <v>0</v>
      </c>
      <c r="AN213" s="188">
        <f t="shared" ref="AN213:AN221" si="274">SUM(AO213:BB213)</f>
        <v>6718</v>
      </c>
      <c r="AO213" s="77">
        <f>IF(L213="N",IF(B213="FS",ROUNDUP($V213*HRS!$B$9*'Position Control'!F213,0),ROUNDUP('Position Control'!$V213*HRS!$L$2*'Position Control'!F213,0)),IF('Position Control'!B213="FS",ROUNDUP(('Position Control'!V213*HRS!$B$9*'Position Control'!W213*'Position Control'!F213)+('Position Control'!X213*HRS!$B$9*'Position Control'!Y213*'Position Control'!F213),0),ROUNDUP(('Position Control'!V213*HRS!$L$2*'Position Control'!W213*'Position Control'!F213)+('Position Control'!X213*HRS!$L$2*'Position Control'!Y213*'Position Control'!F213),0)))*'Position Control'!H213</f>
        <v>6718</v>
      </c>
      <c r="AP213" s="77">
        <f t="shared" ref="AP213:AP221" si="275">ROUNDUP(52*AC213,0)*H213</f>
        <v>0</v>
      </c>
      <c r="AQ213" s="77">
        <f t="shared" ref="AQ213:AQ221" si="276">IF(B213="FS",ROUNDUP(24*AD213,0),IF(B213="POL",ROUNDUP(26*AD213,0),ROUNDUP(52*AD213,0)))*$H213</f>
        <v>0</v>
      </c>
      <c r="AR213" s="77">
        <f t="shared" ref="AR213:AR221" si="277">IF(B213="FS",ROUNDUP(AG213*24,0),ROUNDUP(52*AG213,0))*H213</f>
        <v>0</v>
      </c>
      <c r="AS213" s="77">
        <v>0</v>
      </c>
      <c r="AT213" s="79">
        <f t="shared" ref="AT213:AT221" si="278">ROUNDUP(26*AF213,0)*H213</f>
        <v>0</v>
      </c>
      <c r="AU213" s="77">
        <f t="shared" ref="AU213:AU221" si="279">IF(B213="FS",ROUNDUP(24*AH213,0),IF(B213="POL",ROUNDUP(26*AH213,0),ROUNDUP(48*AH213,0)))*$H213</f>
        <v>0</v>
      </c>
      <c r="AV213" s="77">
        <v>0</v>
      </c>
      <c r="AW213" s="77">
        <f t="shared" ref="AW213:AW221" si="280">IF(B213="FS",ROUNDUP(24*AE213,0),IF(B213="POL",ROUNDUP(26*AE213,0),ROUNDUP(52*AE213,0)))*$H213</f>
        <v>0</v>
      </c>
      <c r="AX213" s="77">
        <f t="shared" ref="AX213:AX221" si="281">IF(AND(Q213&lt;20220401,A213&lt;&gt;"SP"),($AX$3*(AO213+BE213)),0)</f>
        <v>0</v>
      </c>
      <c r="AY213" s="77">
        <f t="shared" ref="AY213:AY221" si="282">IF(AND($L213="N",$Q213&lt;20220401,$A213&lt;&gt;"SP",$AO213&lt;100000),($AY$3*($AO213+$BE213)),0)</f>
        <v>0</v>
      </c>
      <c r="AZ213" s="77">
        <f t="shared" ref="AZ213:AZ221" si="283">IF(AND($L213="N",$Q213&lt;20220401,$A213&lt;&gt;"SP",$AO213&gt;100000),($AZ$3*($AO213+$BE213)),0)</f>
        <v>0</v>
      </c>
      <c r="BA213" s="77">
        <f t="shared" ref="BA213:BA221" si="284">IF(AND($L213="N",$Q213&lt;20220401,$A213&lt;&gt;"SP"),($BA$3*($AO213+$BE213)),0)</f>
        <v>0</v>
      </c>
      <c r="BB213" s="77">
        <f t="shared" ref="BB213:BB221" si="285">IF(AND($L213="Y",$Q213&lt;20220401,$A213&lt;&gt;"SP"),($BB$3*($AO213+$BE213)),0)</f>
        <v>0</v>
      </c>
      <c r="BC213" s="77">
        <f t="shared" si="270"/>
        <v>0</v>
      </c>
      <c r="BD213" s="77">
        <f t="shared" ref="BD213:BD221" si="286">IF($S213&gt;=12,IF(($S213*5)&gt;1200,1200,$S213*5),0)*$H213</f>
        <v>0</v>
      </c>
      <c r="BE213" s="77">
        <v>0</v>
      </c>
      <c r="BF213" s="77">
        <f t="shared" ref="BF213:BF221" si="287">$AM213*$BF$3*12*$H213</f>
        <v>0</v>
      </c>
      <c r="BG213" s="77">
        <f>VLOOKUP($AJ213,BENE!$I$2:$N$9,6,FALSE)*'Position Control'!$H213</f>
        <v>0</v>
      </c>
      <c r="BH213" s="77">
        <f>VLOOKUP($AK213,BENE!$A$2:$F$19,6,FALSE)*'Position Control'!$H213</f>
        <v>0</v>
      </c>
      <c r="BI213" s="77">
        <f>VLOOKUP($AK213,BENE!$A$2:$G$19,7,FALSE)*'Position Control'!$H213</f>
        <v>0</v>
      </c>
      <c r="BJ213" s="77">
        <f>VLOOKUP($AL213,BENE!$P$2:$S$6,4,FALSE)*'Position Control'!$H213</f>
        <v>0</v>
      </c>
      <c r="BK213" s="77">
        <f>IF($F213&gt;HRS!$H$2,ROUNDUP(((($AN213+$BE213)*$BK$3)/12*9)+(($AN213+$BE213)*HRS!$B$10/12*3),0),0)*$H213</f>
        <v>0</v>
      </c>
      <c r="BL213" s="80">
        <f t="shared" ref="BL213:BL221" si="288">ROUNDUP($AN213*$AA213,0)*$H213</f>
        <v>60</v>
      </c>
      <c r="BM213" s="77">
        <f t="shared" ref="BM213:BM221" si="289">ROUNDUP(IF($AN213&gt;9000,$BM$3*9000,$BM$3*$AN213),0)*$H213</f>
        <v>108</v>
      </c>
      <c r="BN213" s="77">
        <f t="shared" ref="BN213:BN221" si="290">IF($AB213="Y",ROUNDUP($AN213*$BN$3,0),0)*$H213</f>
        <v>98</v>
      </c>
      <c r="BO213" s="77">
        <f t="shared" ref="BO213:BO221" si="291">IF($A213&lt;&gt;"SP",ROUND($BO$3*$AN213,0)*$H213,0)</f>
        <v>0</v>
      </c>
      <c r="BP213" s="77">
        <f t="shared" ref="BP213:BP221" si="292">IF($T213&gt;24,2000,IF($T213&gt;19,1750,IF($T213&gt;14,1500,IF($T213&gt;9.9999999999999,1000,0))))*$H213</f>
        <v>0</v>
      </c>
      <c r="BQ213" s="77">
        <v>0</v>
      </c>
      <c r="BR213" s="80">
        <f t="shared" ref="BR213:BR221" si="293">SUM(AO213:AW213)+SUM(BC213:BQ213)</f>
        <v>6984</v>
      </c>
    </row>
    <row r="214" spans="1:70" s="9" customFormat="1" outlineLevel="1" x14ac:dyDescent="0.35">
      <c r="A214" s="10" t="s">
        <v>83</v>
      </c>
      <c r="B214" s="10" t="s">
        <v>581</v>
      </c>
      <c r="C214" s="10" t="s">
        <v>8</v>
      </c>
      <c r="D214" s="10" t="s">
        <v>202</v>
      </c>
      <c r="E214" s="10" t="s">
        <v>56</v>
      </c>
      <c r="F214" s="180">
        <v>0.14000000000000001</v>
      </c>
      <c r="G214" s="183">
        <v>0.14000000000000001</v>
      </c>
      <c r="H214" s="180">
        <v>1</v>
      </c>
      <c r="I214" s="184" t="s">
        <v>84</v>
      </c>
      <c r="J214" s="184" t="s">
        <v>408</v>
      </c>
      <c r="K214" s="10" t="s">
        <v>584</v>
      </c>
      <c r="L214" s="114" t="s">
        <v>51</v>
      </c>
      <c r="M214" s="10"/>
      <c r="N214" s="10"/>
      <c r="O214" s="10"/>
      <c r="P214" s="10"/>
      <c r="Q214" s="185">
        <v>20220501</v>
      </c>
      <c r="R214" s="196">
        <v>44836</v>
      </c>
      <c r="S214" s="197">
        <f t="shared" si="272"/>
        <v>0</v>
      </c>
      <c r="T214" s="66">
        <f t="shared" si="273"/>
        <v>0</v>
      </c>
      <c r="U214" s="10"/>
      <c r="V214" s="182">
        <v>11.4763</v>
      </c>
      <c r="W214" s="74"/>
      <c r="X214" s="182"/>
      <c r="Y214" s="74"/>
      <c r="Z214" s="1">
        <v>9102</v>
      </c>
      <c r="AA214" s="112">
        <f>VLOOKUP(Z214,'WRK COMP'!$A$1:$E$17,5,FALSE)</f>
        <v>8.9280000000000002E-3</v>
      </c>
      <c r="AB214" s="76" t="s">
        <v>13</v>
      </c>
      <c r="AC214" s="68">
        <v>0</v>
      </c>
      <c r="AD214" s="68">
        <v>0</v>
      </c>
      <c r="AE214" s="68">
        <v>0</v>
      </c>
      <c r="AF214" s="68">
        <v>0</v>
      </c>
      <c r="AG214" s="68">
        <v>0</v>
      </c>
      <c r="AH214" s="68">
        <v>0</v>
      </c>
      <c r="AI214" s="68">
        <v>0</v>
      </c>
      <c r="AJ214" s="10" t="s">
        <v>49</v>
      </c>
      <c r="AK214" s="10" t="s">
        <v>49</v>
      </c>
      <c r="AL214" s="10" t="s">
        <v>49</v>
      </c>
      <c r="AM214" s="78">
        <f>IF(F214&gt;0.79,IF(ROUNDUP(IF(B214="FS",(V214*HRS!$B$9),(V214*HRS!$L$2))*2,-3)&gt;150000,150000,(ROUNDUP(IF(B214="FS",(V214*HRS!$B$9),(V214*HRS!$L$2))*2,-3))),0)</f>
        <v>0</v>
      </c>
      <c r="AN214" s="188">
        <f t="shared" si="274"/>
        <v>3342</v>
      </c>
      <c r="AO214" s="77">
        <f>IF(L214="N",IF(B214="FS",ROUNDUP($V214*HRS!$B$9*'Position Control'!F214,0),ROUNDUP('Position Control'!$V214*HRS!$L$2*'Position Control'!F214,0)),IF('Position Control'!B214="FS",ROUNDUP(('Position Control'!V214*HRS!$B$9*'Position Control'!W214*'Position Control'!F214)+('Position Control'!X214*HRS!$B$9*'Position Control'!Y214*'Position Control'!F214),0),ROUNDUP(('Position Control'!V214*HRS!$L$2*'Position Control'!W214*'Position Control'!F214)+('Position Control'!X214*HRS!$L$2*'Position Control'!Y214*'Position Control'!F214),0)))*'Position Control'!H214</f>
        <v>3342</v>
      </c>
      <c r="AP214" s="77">
        <f t="shared" si="275"/>
        <v>0</v>
      </c>
      <c r="AQ214" s="77">
        <f t="shared" si="276"/>
        <v>0</v>
      </c>
      <c r="AR214" s="77">
        <f t="shared" si="277"/>
        <v>0</v>
      </c>
      <c r="AS214" s="77">
        <v>0</v>
      </c>
      <c r="AT214" s="79">
        <f t="shared" si="278"/>
        <v>0</v>
      </c>
      <c r="AU214" s="77">
        <f t="shared" si="279"/>
        <v>0</v>
      </c>
      <c r="AV214" s="77">
        <v>0</v>
      </c>
      <c r="AW214" s="77">
        <f t="shared" si="280"/>
        <v>0</v>
      </c>
      <c r="AX214" s="77">
        <f t="shared" si="281"/>
        <v>0</v>
      </c>
      <c r="AY214" s="77">
        <f t="shared" si="282"/>
        <v>0</v>
      </c>
      <c r="AZ214" s="77">
        <f t="shared" si="283"/>
        <v>0</v>
      </c>
      <c r="BA214" s="77">
        <f t="shared" si="284"/>
        <v>0</v>
      </c>
      <c r="BB214" s="77">
        <f t="shared" si="285"/>
        <v>0</v>
      </c>
      <c r="BC214" s="77">
        <f t="shared" si="270"/>
        <v>0</v>
      </c>
      <c r="BD214" s="77">
        <f t="shared" si="286"/>
        <v>0</v>
      </c>
      <c r="BE214" s="77">
        <v>0</v>
      </c>
      <c r="BF214" s="77">
        <f t="shared" si="287"/>
        <v>0</v>
      </c>
      <c r="BG214" s="77">
        <f>VLOOKUP($AJ214,BENE!$I$2:$N$9,6,FALSE)*'Position Control'!$H214</f>
        <v>0</v>
      </c>
      <c r="BH214" s="77">
        <f>VLOOKUP($AK214,BENE!$A$2:$F$19,6,FALSE)*'Position Control'!$H214</f>
        <v>0</v>
      </c>
      <c r="BI214" s="77">
        <f>VLOOKUP($AK214,BENE!$A$2:$G$19,7,FALSE)*'Position Control'!$H214</f>
        <v>0</v>
      </c>
      <c r="BJ214" s="77">
        <f>VLOOKUP($AL214,BENE!$P$2:$S$6,4,FALSE)*'Position Control'!$H214</f>
        <v>0</v>
      </c>
      <c r="BK214" s="77">
        <f>IF($F214&gt;HRS!$H$2,ROUNDUP(((($AN214+$BE214)*$BK$3)/12*9)+(($AN214+$BE214)*HRS!$B$10/12*3),0),0)*$H214</f>
        <v>0</v>
      </c>
      <c r="BL214" s="80">
        <f t="shared" si="288"/>
        <v>30</v>
      </c>
      <c r="BM214" s="77">
        <f t="shared" si="289"/>
        <v>54</v>
      </c>
      <c r="BN214" s="77">
        <f t="shared" si="290"/>
        <v>49</v>
      </c>
      <c r="BO214" s="77">
        <f t="shared" si="291"/>
        <v>0</v>
      </c>
      <c r="BP214" s="77">
        <f t="shared" si="292"/>
        <v>0</v>
      </c>
      <c r="BQ214" s="77">
        <v>0</v>
      </c>
      <c r="BR214" s="80">
        <f t="shared" si="293"/>
        <v>3475</v>
      </c>
    </row>
    <row r="215" spans="1:70" s="9" customFormat="1" outlineLevel="1" x14ac:dyDescent="0.35">
      <c r="A215" s="10" t="s">
        <v>83</v>
      </c>
      <c r="B215" s="10" t="s">
        <v>581</v>
      </c>
      <c r="C215" s="10" t="s">
        <v>8</v>
      </c>
      <c r="D215" s="10" t="s">
        <v>202</v>
      </c>
      <c r="E215" s="10" t="s">
        <v>56</v>
      </c>
      <c r="F215" s="180">
        <v>0.14000000000000001</v>
      </c>
      <c r="G215" s="183">
        <v>0.14000000000000001</v>
      </c>
      <c r="H215" s="180">
        <v>1</v>
      </c>
      <c r="I215" s="184" t="s">
        <v>84</v>
      </c>
      <c r="J215" s="184" t="s">
        <v>408</v>
      </c>
      <c r="K215" s="10" t="s">
        <v>584</v>
      </c>
      <c r="L215" s="114" t="s">
        <v>51</v>
      </c>
      <c r="M215" s="10"/>
      <c r="N215" s="10"/>
      <c r="O215" s="10"/>
      <c r="P215" s="10"/>
      <c r="Q215" s="185">
        <v>20220501</v>
      </c>
      <c r="R215" s="196">
        <v>44836</v>
      </c>
      <c r="S215" s="197">
        <f t="shared" si="272"/>
        <v>0</v>
      </c>
      <c r="T215" s="66">
        <f t="shared" si="273"/>
        <v>0</v>
      </c>
      <c r="U215" s="10"/>
      <c r="V215" s="182">
        <v>11.4763</v>
      </c>
      <c r="W215" s="74"/>
      <c r="X215" s="182"/>
      <c r="Y215" s="74"/>
      <c r="Z215" s="1">
        <v>9102</v>
      </c>
      <c r="AA215" s="112">
        <f>VLOOKUP(Z215,'WRK COMP'!$A$1:$E$17,5,FALSE)</f>
        <v>8.9280000000000002E-3</v>
      </c>
      <c r="AB215" s="76" t="s">
        <v>13</v>
      </c>
      <c r="AC215" s="68">
        <v>0</v>
      </c>
      <c r="AD215" s="68">
        <v>0</v>
      </c>
      <c r="AE215" s="68">
        <v>0</v>
      </c>
      <c r="AF215" s="68">
        <v>0</v>
      </c>
      <c r="AG215" s="68">
        <v>0</v>
      </c>
      <c r="AH215" s="68">
        <v>0</v>
      </c>
      <c r="AI215" s="68">
        <v>0</v>
      </c>
      <c r="AJ215" s="10" t="s">
        <v>49</v>
      </c>
      <c r="AK215" s="10" t="s">
        <v>49</v>
      </c>
      <c r="AL215" s="10" t="s">
        <v>49</v>
      </c>
      <c r="AM215" s="78">
        <f>IF(F215&gt;0.79,IF(ROUNDUP(IF(B215="FS",(V215*HRS!$B$9),(V215*HRS!$L$2))*2,-3)&gt;150000,150000,(ROUNDUP(IF(B215="FS",(V215*HRS!$B$9),(V215*HRS!$L$2))*2,-3))),0)</f>
        <v>0</v>
      </c>
      <c r="AN215" s="188">
        <f t="shared" si="274"/>
        <v>3342</v>
      </c>
      <c r="AO215" s="77">
        <f>IF(L215="N",IF(B215="FS",ROUNDUP($V215*HRS!$B$9*'Position Control'!F215,0),ROUNDUP('Position Control'!$V215*HRS!$L$2*'Position Control'!F215,0)),IF('Position Control'!B215="FS",ROUNDUP(('Position Control'!V215*HRS!$B$9*'Position Control'!W215*'Position Control'!F215)+('Position Control'!X215*HRS!$B$9*'Position Control'!Y215*'Position Control'!F215),0),ROUNDUP(('Position Control'!V215*HRS!$L$2*'Position Control'!W215*'Position Control'!F215)+('Position Control'!X215*HRS!$L$2*'Position Control'!Y215*'Position Control'!F215),0)))*'Position Control'!H215</f>
        <v>3342</v>
      </c>
      <c r="AP215" s="77">
        <f t="shared" si="275"/>
        <v>0</v>
      </c>
      <c r="AQ215" s="77">
        <f t="shared" si="276"/>
        <v>0</v>
      </c>
      <c r="AR215" s="77">
        <f t="shared" si="277"/>
        <v>0</v>
      </c>
      <c r="AS215" s="77">
        <v>0</v>
      </c>
      <c r="AT215" s="79">
        <f t="shared" si="278"/>
        <v>0</v>
      </c>
      <c r="AU215" s="77">
        <f t="shared" si="279"/>
        <v>0</v>
      </c>
      <c r="AV215" s="77">
        <v>0</v>
      </c>
      <c r="AW215" s="77">
        <f t="shared" si="280"/>
        <v>0</v>
      </c>
      <c r="AX215" s="77">
        <f t="shared" si="281"/>
        <v>0</v>
      </c>
      <c r="AY215" s="77">
        <f t="shared" si="282"/>
        <v>0</v>
      </c>
      <c r="AZ215" s="77">
        <f t="shared" si="283"/>
        <v>0</v>
      </c>
      <c r="BA215" s="77">
        <f t="shared" si="284"/>
        <v>0</v>
      </c>
      <c r="BB215" s="77">
        <f t="shared" si="285"/>
        <v>0</v>
      </c>
      <c r="BC215" s="77">
        <f t="shared" si="270"/>
        <v>0</v>
      </c>
      <c r="BD215" s="77">
        <f t="shared" si="286"/>
        <v>0</v>
      </c>
      <c r="BE215" s="77">
        <v>0</v>
      </c>
      <c r="BF215" s="77">
        <f t="shared" si="287"/>
        <v>0</v>
      </c>
      <c r="BG215" s="77">
        <f>VLOOKUP($AJ215,BENE!$I$2:$N$9,6,FALSE)*'Position Control'!$H215</f>
        <v>0</v>
      </c>
      <c r="BH215" s="77">
        <f>VLOOKUP($AK215,BENE!$A$2:$F$19,6,FALSE)*'Position Control'!$H215</f>
        <v>0</v>
      </c>
      <c r="BI215" s="77">
        <f>VLOOKUP($AK215,BENE!$A$2:$G$19,7,FALSE)*'Position Control'!$H215</f>
        <v>0</v>
      </c>
      <c r="BJ215" s="77">
        <f>VLOOKUP($AL215,BENE!$P$2:$S$6,4,FALSE)*'Position Control'!$H215</f>
        <v>0</v>
      </c>
      <c r="BK215" s="77">
        <f>IF($F215&gt;HRS!$H$2,ROUNDUP(((($AN215+$BE215)*$BK$3)/12*9)+(($AN215+$BE215)*HRS!$B$10/12*3),0),0)*$H215</f>
        <v>0</v>
      </c>
      <c r="BL215" s="80">
        <f t="shared" si="288"/>
        <v>30</v>
      </c>
      <c r="BM215" s="77">
        <f t="shared" si="289"/>
        <v>54</v>
      </c>
      <c r="BN215" s="77">
        <f t="shared" si="290"/>
        <v>49</v>
      </c>
      <c r="BO215" s="77">
        <f t="shared" si="291"/>
        <v>0</v>
      </c>
      <c r="BP215" s="77">
        <f t="shared" si="292"/>
        <v>0</v>
      </c>
      <c r="BQ215" s="77">
        <v>0</v>
      </c>
      <c r="BR215" s="80">
        <f t="shared" si="293"/>
        <v>3475</v>
      </c>
    </row>
    <row r="216" spans="1:70" s="9" customFormat="1" outlineLevel="1" x14ac:dyDescent="0.35">
      <c r="A216" s="10" t="s">
        <v>83</v>
      </c>
      <c r="B216" s="10" t="s">
        <v>581</v>
      </c>
      <c r="C216" s="10" t="s">
        <v>8</v>
      </c>
      <c r="D216" s="10" t="s">
        <v>202</v>
      </c>
      <c r="E216" s="10" t="s">
        <v>56</v>
      </c>
      <c r="F216" s="180">
        <v>0.14000000000000001</v>
      </c>
      <c r="G216" s="183">
        <v>0.14000000000000001</v>
      </c>
      <c r="H216" s="180">
        <v>1</v>
      </c>
      <c r="I216" s="184" t="s">
        <v>84</v>
      </c>
      <c r="J216" s="184" t="s">
        <v>408</v>
      </c>
      <c r="K216" s="10" t="s">
        <v>584</v>
      </c>
      <c r="L216" s="114" t="s">
        <v>51</v>
      </c>
      <c r="M216" s="10"/>
      <c r="N216" s="10"/>
      <c r="O216" s="10"/>
      <c r="P216" s="10"/>
      <c r="Q216" s="185">
        <v>20220501</v>
      </c>
      <c r="R216" s="196">
        <v>44836</v>
      </c>
      <c r="S216" s="197">
        <f t="shared" si="272"/>
        <v>0</v>
      </c>
      <c r="T216" s="66">
        <f t="shared" si="273"/>
        <v>0</v>
      </c>
      <c r="U216" s="10"/>
      <c r="V216" s="182">
        <v>11.4763</v>
      </c>
      <c r="W216" s="74"/>
      <c r="X216" s="182"/>
      <c r="Y216" s="74"/>
      <c r="Z216" s="1">
        <v>9102</v>
      </c>
      <c r="AA216" s="112">
        <f>VLOOKUP(Z216,'WRK COMP'!$A$1:$E$17,5,FALSE)</f>
        <v>8.9280000000000002E-3</v>
      </c>
      <c r="AB216" s="76" t="s">
        <v>13</v>
      </c>
      <c r="AC216" s="68">
        <v>0</v>
      </c>
      <c r="AD216" s="68">
        <v>0</v>
      </c>
      <c r="AE216" s="68">
        <v>0</v>
      </c>
      <c r="AF216" s="68">
        <v>0</v>
      </c>
      <c r="AG216" s="68">
        <v>0</v>
      </c>
      <c r="AH216" s="68">
        <v>0</v>
      </c>
      <c r="AI216" s="68">
        <v>0</v>
      </c>
      <c r="AJ216" s="10" t="s">
        <v>49</v>
      </c>
      <c r="AK216" s="10" t="s">
        <v>49</v>
      </c>
      <c r="AL216" s="10" t="s">
        <v>49</v>
      </c>
      <c r="AM216" s="78">
        <f>IF(F216&gt;0.79,IF(ROUNDUP(IF(B216="FS",(V216*HRS!$B$9),(V216*HRS!$L$2))*2,-3)&gt;150000,150000,(ROUNDUP(IF(B216="FS",(V216*HRS!$B$9),(V216*HRS!$L$2))*2,-3))),0)</f>
        <v>0</v>
      </c>
      <c r="AN216" s="188">
        <f t="shared" si="274"/>
        <v>3342</v>
      </c>
      <c r="AO216" s="77">
        <f>IF(L216="N",IF(B216="FS",ROUNDUP($V216*HRS!$B$9*'Position Control'!F216,0),ROUNDUP('Position Control'!$V216*HRS!$L$2*'Position Control'!F216,0)),IF('Position Control'!B216="FS",ROUNDUP(('Position Control'!V216*HRS!$B$9*'Position Control'!W216*'Position Control'!F216)+('Position Control'!X216*HRS!$B$9*'Position Control'!Y216*'Position Control'!F216),0),ROUNDUP(('Position Control'!V216*HRS!$L$2*'Position Control'!W216*'Position Control'!F216)+('Position Control'!X216*HRS!$L$2*'Position Control'!Y216*'Position Control'!F216),0)))*'Position Control'!H216</f>
        <v>3342</v>
      </c>
      <c r="AP216" s="77">
        <f t="shared" si="275"/>
        <v>0</v>
      </c>
      <c r="AQ216" s="77">
        <f t="shared" si="276"/>
        <v>0</v>
      </c>
      <c r="AR216" s="77">
        <f t="shared" si="277"/>
        <v>0</v>
      </c>
      <c r="AS216" s="77">
        <v>0</v>
      </c>
      <c r="AT216" s="79">
        <f t="shared" si="278"/>
        <v>0</v>
      </c>
      <c r="AU216" s="77">
        <f t="shared" si="279"/>
        <v>0</v>
      </c>
      <c r="AV216" s="77">
        <v>0</v>
      </c>
      <c r="AW216" s="77">
        <f t="shared" si="280"/>
        <v>0</v>
      </c>
      <c r="AX216" s="77">
        <f t="shared" si="281"/>
        <v>0</v>
      </c>
      <c r="AY216" s="77">
        <f t="shared" si="282"/>
        <v>0</v>
      </c>
      <c r="AZ216" s="77">
        <f t="shared" si="283"/>
        <v>0</v>
      </c>
      <c r="BA216" s="77">
        <f t="shared" si="284"/>
        <v>0</v>
      </c>
      <c r="BB216" s="77">
        <f t="shared" si="285"/>
        <v>0</v>
      </c>
      <c r="BC216" s="77">
        <f t="shared" si="270"/>
        <v>0</v>
      </c>
      <c r="BD216" s="77">
        <f t="shared" si="286"/>
        <v>0</v>
      </c>
      <c r="BE216" s="77">
        <v>0</v>
      </c>
      <c r="BF216" s="77">
        <f t="shared" si="287"/>
        <v>0</v>
      </c>
      <c r="BG216" s="77">
        <f>VLOOKUP($AJ216,BENE!$I$2:$N$9,6,FALSE)*'Position Control'!$H216</f>
        <v>0</v>
      </c>
      <c r="BH216" s="77">
        <f>VLOOKUP($AK216,BENE!$A$2:$F$19,6,FALSE)*'Position Control'!$H216</f>
        <v>0</v>
      </c>
      <c r="BI216" s="77">
        <f>VLOOKUP($AK216,BENE!$A$2:$G$19,7,FALSE)*'Position Control'!$H216</f>
        <v>0</v>
      </c>
      <c r="BJ216" s="77">
        <f>VLOOKUP($AL216,BENE!$P$2:$S$6,4,FALSE)*'Position Control'!$H216</f>
        <v>0</v>
      </c>
      <c r="BK216" s="77">
        <f>IF($F216&gt;HRS!$H$2,ROUNDUP(((($AN216+$BE216)*$BK$3)/12*9)+(($AN216+$BE216)*HRS!$B$10/12*3),0),0)*$H216</f>
        <v>0</v>
      </c>
      <c r="BL216" s="80">
        <f t="shared" si="288"/>
        <v>30</v>
      </c>
      <c r="BM216" s="77">
        <f t="shared" si="289"/>
        <v>54</v>
      </c>
      <c r="BN216" s="77">
        <f t="shared" si="290"/>
        <v>49</v>
      </c>
      <c r="BO216" s="77">
        <f t="shared" si="291"/>
        <v>0</v>
      </c>
      <c r="BP216" s="77">
        <f t="shared" si="292"/>
        <v>0</v>
      </c>
      <c r="BQ216" s="77">
        <v>0</v>
      </c>
      <c r="BR216" s="80">
        <f t="shared" si="293"/>
        <v>3475</v>
      </c>
    </row>
    <row r="217" spans="1:70" s="9" customFormat="1" outlineLevel="1" x14ac:dyDescent="0.35">
      <c r="A217" s="10" t="s">
        <v>83</v>
      </c>
      <c r="B217" s="10" t="s">
        <v>581</v>
      </c>
      <c r="C217" s="10" t="s">
        <v>8</v>
      </c>
      <c r="D217" s="10" t="s">
        <v>202</v>
      </c>
      <c r="E217" s="10" t="s">
        <v>56</v>
      </c>
      <c r="F217" s="180">
        <v>0.12</v>
      </c>
      <c r="G217" s="183">
        <v>0.12</v>
      </c>
      <c r="H217" s="180">
        <v>1</v>
      </c>
      <c r="I217" s="184" t="s">
        <v>84</v>
      </c>
      <c r="J217" s="184" t="s">
        <v>408</v>
      </c>
      <c r="K217" s="10" t="s">
        <v>585</v>
      </c>
      <c r="L217" s="114" t="s">
        <v>51</v>
      </c>
      <c r="M217" s="10"/>
      <c r="N217" s="10"/>
      <c r="O217" s="10"/>
      <c r="P217" s="10"/>
      <c r="Q217" s="185">
        <v>20220501</v>
      </c>
      <c r="R217" s="196">
        <v>44836</v>
      </c>
      <c r="S217" s="197">
        <f t="shared" si="272"/>
        <v>0</v>
      </c>
      <c r="T217" s="66">
        <f t="shared" si="273"/>
        <v>0</v>
      </c>
      <c r="U217" s="10"/>
      <c r="V217" s="182">
        <v>10.4095</v>
      </c>
      <c r="W217" s="74"/>
      <c r="X217" s="182"/>
      <c r="Y217" s="74"/>
      <c r="Z217" s="1">
        <v>9102</v>
      </c>
      <c r="AA217" s="112">
        <f>VLOOKUP(Z217,'WRK COMP'!$A$1:$E$17,5,FALSE)</f>
        <v>8.9280000000000002E-3</v>
      </c>
      <c r="AB217" s="76" t="s">
        <v>13</v>
      </c>
      <c r="AC217" s="68">
        <v>0</v>
      </c>
      <c r="AD217" s="68">
        <v>0</v>
      </c>
      <c r="AE217" s="68">
        <v>0</v>
      </c>
      <c r="AF217" s="68">
        <v>0</v>
      </c>
      <c r="AG217" s="68">
        <v>0</v>
      </c>
      <c r="AH217" s="68">
        <v>0</v>
      </c>
      <c r="AI217" s="68">
        <v>0</v>
      </c>
      <c r="AJ217" s="10" t="s">
        <v>49</v>
      </c>
      <c r="AK217" s="10" t="s">
        <v>49</v>
      </c>
      <c r="AL217" s="10" t="s">
        <v>49</v>
      </c>
      <c r="AM217" s="78">
        <f>IF(F217&gt;0.79,IF(ROUNDUP(IF(B217="FS",(V217*HRS!$B$9),(V217*HRS!$L$2))*2,-3)&gt;150000,150000,(ROUNDUP(IF(B217="FS",(V217*HRS!$B$9),(V217*HRS!$L$2))*2,-3))),0)</f>
        <v>0</v>
      </c>
      <c r="AN217" s="188">
        <f t="shared" si="274"/>
        <v>2599</v>
      </c>
      <c r="AO217" s="77">
        <f>IF(L217="N",IF(B217="FS",ROUNDUP($V217*HRS!$B$9*'Position Control'!F217,0),ROUNDUP('Position Control'!$V217*HRS!$L$2*'Position Control'!F217,0)),IF('Position Control'!B217="FS",ROUNDUP(('Position Control'!V217*HRS!$B$9*'Position Control'!W217*'Position Control'!F217)+('Position Control'!X217*HRS!$B$9*'Position Control'!Y217*'Position Control'!F217),0),ROUNDUP(('Position Control'!V217*HRS!$L$2*'Position Control'!W217*'Position Control'!F217)+('Position Control'!X217*HRS!$L$2*'Position Control'!Y217*'Position Control'!F217),0)))*'Position Control'!H217</f>
        <v>2599</v>
      </c>
      <c r="AP217" s="77">
        <f t="shared" si="275"/>
        <v>0</v>
      </c>
      <c r="AQ217" s="77">
        <f t="shared" si="276"/>
        <v>0</v>
      </c>
      <c r="AR217" s="77">
        <f t="shared" si="277"/>
        <v>0</v>
      </c>
      <c r="AS217" s="77">
        <v>0</v>
      </c>
      <c r="AT217" s="79">
        <f t="shared" si="278"/>
        <v>0</v>
      </c>
      <c r="AU217" s="77">
        <f t="shared" si="279"/>
        <v>0</v>
      </c>
      <c r="AV217" s="77">
        <v>0</v>
      </c>
      <c r="AW217" s="77">
        <f t="shared" si="280"/>
        <v>0</v>
      </c>
      <c r="AX217" s="77">
        <f t="shared" si="281"/>
        <v>0</v>
      </c>
      <c r="AY217" s="77">
        <f t="shared" si="282"/>
        <v>0</v>
      </c>
      <c r="AZ217" s="77">
        <f t="shared" si="283"/>
        <v>0</v>
      </c>
      <c r="BA217" s="77">
        <f t="shared" si="284"/>
        <v>0</v>
      </c>
      <c r="BB217" s="77">
        <f t="shared" si="285"/>
        <v>0</v>
      </c>
      <c r="BC217" s="77">
        <f t="shared" si="270"/>
        <v>0</v>
      </c>
      <c r="BD217" s="77">
        <f t="shared" si="286"/>
        <v>0</v>
      </c>
      <c r="BE217" s="77">
        <v>0</v>
      </c>
      <c r="BF217" s="77">
        <f t="shared" si="287"/>
        <v>0</v>
      </c>
      <c r="BG217" s="77">
        <f>VLOOKUP($AJ217,BENE!$I$2:$N$9,6,FALSE)*'Position Control'!$H217</f>
        <v>0</v>
      </c>
      <c r="BH217" s="77">
        <f>VLOOKUP($AK217,BENE!$A$2:$F$19,6,FALSE)*'Position Control'!$H217</f>
        <v>0</v>
      </c>
      <c r="BI217" s="77">
        <f>VLOOKUP($AK217,BENE!$A$2:$G$19,7,FALSE)*'Position Control'!$H217</f>
        <v>0</v>
      </c>
      <c r="BJ217" s="77">
        <f>VLOOKUP($AL217,BENE!$P$2:$S$6,4,FALSE)*'Position Control'!$H217</f>
        <v>0</v>
      </c>
      <c r="BK217" s="77">
        <f>IF($F217&gt;HRS!$H$2,ROUNDUP(((($AN217+$BE217)*$BK$3)/12*9)+(($AN217+$BE217)*HRS!$B$10/12*3),0),0)*$H217</f>
        <v>0</v>
      </c>
      <c r="BL217" s="80">
        <f t="shared" si="288"/>
        <v>24</v>
      </c>
      <c r="BM217" s="77">
        <f t="shared" si="289"/>
        <v>42</v>
      </c>
      <c r="BN217" s="77">
        <f t="shared" si="290"/>
        <v>38</v>
      </c>
      <c r="BO217" s="77">
        <f t="shared" si="291"/>
        <v>0</v>
      </c>
      <c r="BP217" s="77">
        <f t="shared" si="292"/>
        <v>0</v>
      </c>
      <c r="BQ217" s="77">
        <v>0</v>
      </c>
      <c r="BR217" s="80">
        <f t="shared" si="293"/>
        <v>2703</v>
      </c>
    </row>
    <row r="218" spans="1:70" s="9" customFormat="1" outlineLevel="1" x14ac:dyDescent="0.35">
      <c r="A218" s="10" t="s">
        <v>83</v>
      </c>
      <c r="B218" s="10" t="s">
        <v>581</v>
      </c>
      <c r="C218" s="10" t="s">
        <v>8</v>
      </c>
      <c r="D218" s="10" t="s">
        <v>202</v>
      </c>
      <c r="E218" s="10" t="s">
        <v>56</v>
      </c>
      <c r="F218" s="180">
        <v>0.12</v>
      </c>
      <c r="G218" s="183">
        <v>0.12</v>
      </c>
      <c r="H218" s="180">
        <v>1</v>
      </c>
      <c r="I218" s="184" t="s">
        <v>84</v>
      </c>
      <c r="J218" s="184" t="s">
        <v>408</v>
      </c>
      <c r="K218" s="10" t="s">
        <v>585</v>
      </c>
      <c r="L218" s="114" t="s">
        <v>51</v>
      </c>
      <c r="M218" s="10"/>
      <c r="N218" s="10"/>
      <c r="O218" s="10"/>
      <c r="P218" s="10"/>
      <c r="Q218" s="185">
        <v>20220501</v>
      </c>
      <c r="R218" s="196">
        <v>44836</v>
      </c>
      <c r="S218" s="197">
        <f t="shared" si="272"/>
        <v>0</v>
      </c>
      <c r="T218" s="66">
        <f t="shared" si="273"/>
        <v>0</v>
      </c>
      <c r="U218" s="10"/>
      <c r="V218" s="182">
        <v>10.4095</v>
      </c>
      <c r="W218" s="74"/>
      <c r="X218" s="182"/>
      <c r="Y218" s="74"/>
      <c r="Z218" s="1">
        <v>9102</v>
      </c>
      <c r="AA218" s="112">
        <f>VLOOKUP(Z218,'WRK COMP'!$A$1:$E$17,5,FALSE)</f>
        <v>8.9280000000000002E-3</v>
      </c>
      <c r="AB218" s="76" t="s">
        <v>13</v>
      </c>
      <c r="AC218" s="68">
        <v>0</v>
      </c>
      <c r="AD218" s="68">
        <v>0</v>
      </c>
      <c r="AE218" s="68">
        <v>0</v>
      </c>
      <c r="AF218" s="68">
        <v>0</v>
      </c>
      <c r="AG218" s="68">
        <v>0</v>
      </c>
      <c r="AH218" s="68">
        <v>0</v>
      </c>
      <c r="AI218" s="68">
        <v>0</v>
      </c>
      <c r="AJ218" s="10" t="s">
        <v>49</v>
      </c>
      <c r="AK218" s="10" t="s">
        <v>49</v>
      </c>
      <c r="AL218" s="10" t="s">
        <v>49</v>
      </c>
      <c r="AM218" s="78">
        <f>IF(F218&gt;0.79,IF(ROUNDUP(IF(B218="FS",(V218*HRS!$B$9),(V218*HRS!$L$2))*2,-3)&gt;150000,150000,(ROUNDUP(IF(B218="FS",(V218*HRS!$B$9),(V218*HRS!$L$2))*2,-3))),0)</f>
        <v>0</v>
      </c>
      <c r="AN218" s="188">
        <f t="shared" si="274"/>
        <v>2599</v>
      </c>
      <c r="AO218" s="77">
        <f>IF(L218="N",IF(B218="FS",ROUNDUP($V218*HRS!$B$9*'Position Control'!F218,0),ROUNDUP('Position Control'!$V218*HRS!$L$2*'Position Control'!F218,0)),IF('Position Control'!B218="FS",ROUNDUP(('Position Control'!V218*HRS!$B$9*'Position Control'!W218*'Position Control'!F218)+('Position Control'!X218*HRS!$B$9*'Position Control'!Y218*'Position Control'!F218),0),ROUNDUP(('Position Control'!V218*HRS!$L$2*'Position Control'!W218*'Position Control'!F218)+('Position Control'!X218*HRS!$L$2*'Position Control'!Y218*'Position Control'!F218),0)))*'Position Control'!H218</f>
        <v>2599</v>
      </c>
      <c r="AP218" s="77">
        <f t="shared" si="275"/>
        <v>0</v>
      </c>
      <c r="AQ218" s="77">
        <f t="shared" si="276"/>
        <v>0</v>
      </c>
      <c r="AR218" s="77">
        <f t="shared" si="277"/>
        <v>0</v>
      </c>
      <c r="AS218" s="77">
        <v>0</v>
      </c>
      <c r="AT218" s="79">
        <f t="shared" si="278"/>
        <v>0</v>
      </c>
      <c r="AU218" s="77">
        <f t="shared" si="279"/>
        <v>0</v>
      </c>
      <c r="AV218" s="77">
        <v>0</v>
      </c>
      <c r="AW218" s="77">
        <f t="shared" si="280"/>
        <v>0</v>
      </c>
      <c r="AX218" s="77">
        <f t="shared" si="281"/>
        <v>0</v>
      </c>
      <c r="AY218" s="77">
        <f t="shared" si="282"/>
        <v>0</v>
      </c>
      <c r="AZ218" s="77">
        <f t="shared" si="283"/>
        <v>0</v>
      </c>
      <c r="BA218" s="77">
        <f t="shared" si="284"/>
        <v>0</v>
      </c>
      <c r="BB218" s="77">
        <f t="shared" si="285"/>
        <v>0</v>
      </c>
      <c r="BC218" s="77">
        <f t="shared" si="270"/>
        <v>0</v>
      </c>
      <c r="BD218" s="77">
        <f t="shared" si="286"/>
        <v>0</v>
      </c>
      <c r="BE218" s="77">
        <v>0</v>
      </c>
      <c r="BF218" s="77">
        <f t="shared" si="287"/>
        <v>0</v>
      </c>
      <c r="BG218" s="77">
        <f>VLOOKUP($AJ218,BENE!$I$2:$N$9,6,FALSE)*'Position Control'!$H218</f>
        <v>0</v>
      </c>
      <c r="BH218" s="77">
        <f>VLOOKUP($AK218,BENE!$A$2:$F$19,6,FALSE)*'Position Control'!$H218</f>
        <v>0</v>
      </c>
      <c r="BI218" s="77">
        <f>VLOOKUP($AK218,BENE!$A$2:$G$19,7,FALSE)*'Position Control'!$H218</f>
        <v>0</v>
      </c>
      <c r="BJ218" s="77">
        <f>VLOOKUP($AL218,BENE!$P$2:$S$6,4,FALSE)*'Position Control'!$H218</f>
        <v>0</v>
      </c>
      <c r="BK218" s="77">
        <f>IF($F218&gt;HRS!$H$2,ROUNDUP(((($AN218+$BE218)*$BK$3)/12*9)+(($AN218+$BE218)*HRS!$B$10/12*3),0),0)*$H218</f>
        <v>0</v>
      </c>
      <c r="BL218" s="80">
        <f t="shared" si="288"/>
        <v>24</v>
      </c>
      <c r="BM218" s="77">
        <f t="shared" si="289"/>
        <v>42</v>
      </c>
      <c r="BN218" s="77">
        <f t="shared" si="290"/>
        <v>38</v>
      </c>
      <c r="BO218" s="77">
        <f t="shared" si="291"/>
        <v>0</v>
      </c>
      <c r="BP218" s="77">
        <f t="shared" si="292"/>
        <v>0</v>
      </c>
      <c r="BQ218" s="77">
        <v>0</v>
      </c>
      <c r="BR218" s="80">
        <f t="shared" si="293"/>
        <v>2703</v>
      </c>
    </row>
    <row r="219" spans="1:70" s="9" customFormat="1" outlineLevel="1" x14ac:dyDescent="0.35">
      <c r="A219" s="10" t="s">
        <v>83</v>
      </c>
      <c r="B219" s="10" t="s">
        <v>581</v>
      </c>
      <c r="C219" s="10" t="s">
        <v>8</v>
      </c>
      <c r="D219" s="10" t="s">
        <v>202</v>
      </c>
      <c r="E219" s="10" t="s">
        <v>56</v>
      </c>
      <c r="F219" s="180">
        <v>0.1</v>
      </c>
      <c r="G219" s="183">
        <v>0.1</v>
      </c>
      <c r="H219" s="180">
        <v>1</v>
      </c>
      <c r="I219" s="184" t="s">
        <v>84</v>
      </c>
      <c r="J219" s="184" t="s">
        <v>408</v>
      </c>
      <c r="K219" s="10" t="s">
        <v>585</v>
      </c>
      <c r="L219" s="114" t="s">
        <v>51</v>
      </c>
      <c r="M219" s="10"/>
      <c r="N219" s="10"/>
      <c r="O219" s="10"/>
      <c r="P219" s="10"/>
      <c r="Q219" s="185">
        <v>20220501</v>
      </c>
      <c r="R219" s="196">
        <v>44836</v>
      </c>
      <c r="S219" s="197">
        <f t="shared" si="272"/>
        <v>0</v>
      </c>
      <c r="T219" s="66">
        <f t="shared" si="273"/>
        <v>0</v>
      </c>
      <c r="U219" s="10"/>
      <c r="V219" s="182">
        <v>10.4095</v>
      </c>
      <c r="W219" s="74"/>
      <c r="X219" s="182"/>
      <c r="Y219" s="74"/>
      <c r="Z219" s="1">
        <v>9102</v>
      </c>
      <c r="AA219" s="112">
        <f>VLOOKUP(Z219,'WRK COMP'!$A$1:$E$17,5,FALSE)</f>
        <v>8.9280000000000002E-3</v>
      </c>
      <c r="AB219" s="76" t="s">
        <v>13</v>
      </c>
      <c r="AC219" s="68">
        <v>0</v>
      </c>
      <c r="AD219" s="68">
        <v>0</v>
      </c>
      <c r="AE219" s="68">
        <v>0</v>
      </c>
      <c r="AF219" s="68">
        <v>0</v>
      </c>
      <c r="AG219" s="68">
        <v>0</v>
      </c>
      <c r="AH219" s="68">
        <v>0</v>
      </c>
      <c r="AI219" s="68">
        <v>0</v>
      </c>
      <c r="AJ219" s="10" t="s">
        <v>49</v>
      </c>
      <c r="AK219" s="10" t="s">
        <v>49</v>
      </c>
      <c r="AL219" s="10" t="s">
        <v>49</v>
      </c>
      <c r="AM219" s="78">
        <f>IF(F219&gt;0.79,IF(ROUNDUP(IF(B219="FS",(V219*HRS!$B$9),(V219*HRS!$L$2))*2,-3)&gt;150000,150000,(ROUNDUP(IF(B219="FS",(V219*HRS!$B$9),(V219*HRS!$L$2))*2,-3))),0)</f>
        <v>0</v>
      </c>
      <c r="AN219" s="188">
        <f t="shared" si="274"/>
        <v>2166</v>
      </c>
      <c r="AO219" s="77">
        <f>IF(L219="N",IF(B219="FS",ROUNDUP($V219*HRS!$B$9*'Position Control'!F219,0),ROUNDUP('Position Control'!$V219*HRS!$L$2*'Position Control'!F219,0)),IF('Position Control'!B219="FS",ROUNDUP(('Position Control'!V219*HRS!$B$9*'Position Control'!W219*'Position Control'!F219)+('Position Control'!X219*HRS!$B$9*'Position Control'!Y219*'Position Control'!F219),0),ROUNDUP(('Position Control'!V219*HRS!$L$2*'Position Control'!W219*'Position Control'!F219)+('Position Control'!X219*HRS!$L$2*'Position Control'!Y219*'Position Control'!F219),0)))*'Position Control'!H219</f>
        <v>2166</v>
      </c>
      <c r="AP219" s="77">
        <f t="shared" si="275"/>
        <v>0</v>
      </c>
      <c r="AQ219" s="77">
        <f t="shared" si="276"/>
        <v>0</v>
      </c>
      <c r="AR219" s="77">
        <f t="shared" si="277"/>
        <v>0</v>
      </c>
      <c r="AS219" s="77">
        <v>0</v>
      </c>
      <c r="AT219" s="79">
        <f t="shared" si="278"/>
        <v>0</v>
      </c>
      <c r="AU219" s="77">
        <f t="shared" si="279"/>
        <v>0</v>
      </c>
      <c r="AV219" s="77">
        <v>0</v>
      </c>
      <c r="AW219" s="77">
        <f t="shared" si="280"/>
        <v>0</v>
      </c>
      <c r="AX219" s="77">
        <f t="shared" si="281"/>
        <v>0</v>
      </c>
      <c r="AY219" s="77">
        <f t="shared" si="282"/>
        <v>0</v>
      </c>
      <c r="AZ219" s="77">
        <f t="shared" si="283"/>
        <v>0</v>
      </c>
      <c r="BA219" s="77">
        <f t="shared" si="284"/>
        <v>0</v>
      </c>
      <c r="BB219" s="77">
        <f t="shared" si="285"/>
        <v>0</v>
      </c>
      <c r="BC219" s="77">
        <f t="shared" si="270"/>
        <v>0</v>
      </c>
      <c r="BD219" s="77">
        <f t="shared" si="286"/>
        <v>0</v>
      </c>
      <c r="BE219" s="77">
        <v>0</v>
      </c>
      <c r="BF219" s="77">
        <f t="shared" si="287"/>
        <v>0</v>
      </c>
      <c r="BG219" s="77">
        <f>VLOOKUP($AJ219,BENE!$I$2:$N$9,6,FALSE)*'Position Control'!$H219</f>
        <v>0</v>
      </c>
      <c r="BH219" s="77">
        <f>VLOOKUP($AK219,BENE!$A$2:$F$19,6,FALSE)*'Position Control'!$H219</f>
        <v>0</v>
      </c>
      <c r="BI219" s="77">
        <f>VLOOKUP($AK219,BENE!$A$2:$G$19,7,FALSE)*'Position Control'!$H219</f>
        <v>0</v>
      </c>
      <c r="BJ219" s="77">
        <f>VLOOKUP($AL219,BENE!$P$2:$S$6,4,FALSE)*'Position Control'!$H219</f>
        <v>0</v>
      </c>
      <c r="BK219" s="77">
        <f>IF($F219&gt;HRS!$H$2,ROUNDUP(((($AN219+$BE219)*$BK$3)/12*9)+(($AN219+$BE219)*HRS!$B$10/12*3),0),0)*$H219</f>
        <v>0</v>
      </c>
      <c r="BL219" s="80">
        <f t="shared" si="288"/>
        <v>20</v>
      </c>
      <c r="BM219" s="77">
        <f t="shared" si="289"/>
        <v>35</v>
      </c>
      <c r="BN219" s="77">
        <f t="shared" si="290"/>
        <v>32</v>
      </c>
      <c r="BO219" s="77">
        <f t="shared" si="291"/>
        <v>0</v>
      </c>
      <c r="BP219" s="77">
        <f t="shared" si="292"/>
        <v>0</v>
      </c>
      <c r="BQ219" s="77">
        <v>0</v>
      </c>
      <c r="BR219" s="80">
        <f t="shared" si="293"/>
        <v>2253</v>
      </c>
    </row>
    <row r="220" spans="1:70" s="9" customFormat="1" outlineLevel="1" x14ac:dyDescent="0.35">
      <c r="A220" s="10" t="s">
        <v>83</v>
      </c>
      <c r="B220" s="10" t="s">
        <v>581</v>
      </c>
      <c r="C220" s="10" t="s">
        <v>8</v>
      </c>
      <c r="D220" s="10" t="s">
        <v>202</v>
      </c>
      <c r="E220" s="10" t="s">
        <v>56</v>
      </c>
      <c r="F220" s="180">
        <v>0.1</v>
      </c>
      <c r="G220" s="183">
        <v>0.1</v>
      </c>
      <c r="H220" s="180">
        <v>1</v>
      </c>
      <c r="I220" s="184" t="s">
        <v>84</v>
      </c>
      <c r="J220" s="184" t="s">
        <v>408</v>
      </c>
      <c r="K220" s="10" t="s">
        <v>585</v>
      </c>
      <c r="L220" s="114" t="s">
        <v>51</v>
      </c>
      <c r="M220" s="10"/>
      <c r="N220" s="10"/>
      <c r="O220" s="10"/>
      <c r="P220" s="10"/>
      <c r="Q220" s="185">
        <v>20220501</v>
      </c>
      <c r="R220" s="196">
        <v>44836</v>
      </c>
      <c r="S220" s="197">
        <f t="shared" si="272"/>
        <v>0</v>
      </c>
      <c r="T220" s="66">
        <f t="shared" si="273"/>
        <v>0</v>
      </c>
      <c r="U220" s="10"/>
      <c r="V220" s="182">
        <v>10.4095</v>
      </c>
      <c r="W220" s="74"/>
      <c r="X220" s="182"/>
      <c r="Y220" s="74"/>
      <c r="Z220" s="1">
        <v>9102</v>
      </c>
      <c r="AA220" s="112">
        <f>VLOOKUP(Z220,'WRK COMP'!$A$1:$E$17,5,FALSE)</f>
        <v>8.9280000000000002E-3</v>
      </c>
      <c r="AB220" s="76" t="s">
        <v>13</v>
      </c>
      <c r="AC220" s="68">
        <v>0</v>
      </c>
      <c r="AD220" s="68">
        <v>0</v>
      </c>
      <c r="AE220" s="68">
        <v>0</v>
      </c>
      <c r="AF220" s="68">
        <v>0</v>
      </c>
      <c r="AG220" s="68">
        <v>0</v>
      </c>
      <c r="AH220" s="68">
        <v>0</v>
      </c>
      <c r="AI220" s="68">
        <v>0</v>
      </c>
      <c r="AJ220" s="10" t="s">
        <v>49</v>
      </c>
      <c r="AK220" s="10" t="s">
        <v>49</v>
      </c>
      <c r="AL220" s="10" t="s">
        <v>49</v>
      </c>
      <c r="AM220" s="78">
        <f>IF(F220&gt;0.79,IF(ROUNDUP(IF(B220="FS",(V220*HRS!$B$9),(V220*HRS!$L$2))*2,-3)&gt;150000,150000,(ROUNDUP(IF(B220="FS",(V220*HRS!$B$9),(V220*HRS!$L$2))*2,-3))),0)</f>
        <v>0</v>
      </c>
      <c r="AN220" s="188">
        <f t="shared" si="274"/>
        <v>2166</v>
      </c>
      <c r="AO220" s="77">
        <f>IF(L220="N",IF(B220="FS",ROUNDUP($V220*HRS!$B$9*'Position Control'!F220,0),ROUNDUP('Position Control'!$V220*HRS!$L$2*'Position Control'!F220,0)),IF('Position Control'!B220="FS",ROUNDUP(('Position Control'!V220*HRS!$B$9*'Position Control'!W220*'Position Control'!F220)+('Position Control'!X220*HRS!$B$9*'Position Control'!Y220*'Position Control'!F220),0),ROUNDUP(('Position Control'!V220*HRS!$L$2*'Position Control'!W220*'Position Control'!F220)+('Position Control'!X220*HRS!$L$2*'Position Control'!Y220*'Position Control'!F220),0)))*'Position Control'!H220</f>
        <v>2166</v>
      </c>
      <c r="AP220" s="77">
        <f t="shared" si="275"/>
        <v>0</v>
      </c>
      <c r="AQ220" s="77">
        <f t="shared" si="276"/>
        <v>0</v>
      </c>
      <c r="AR220" s="77">
        <f t="shared" si="277"/>
        <v>0</v>
      </c>
      <c r="AS220" s="77">
        <v>0</v>
      </c>
      <c r="AT220" s="79">
        <f t="shared" si="278"/>
        <v>0</v>
      </c>
      <c r="AU220" s="77">
        <f t="shared" si="279"/>
        <v>0</v>
      </c>
      <c r="AV220" s="77">
        <v>0</v>
      </c>
      <c r="AW220" s="77">
        <f t="shared" si="280"/>
        <v>0</v>
      </c>
      <c r="AX220" s="77">
        <f t="shared" si="281"/>
        <v>0</v>
      </c>
      <c r="AY220" s="77">
        <f t="shared" si="282"/>
        <v>0</v>
      </c>
      <c r="AZ220" s="77">
        <f t="shared" si="283"/>
        <v>0</v>
      </c>
      <c r="BA220" s="77">
        <f t="shared" si="284"/>
        <v>0</v>
      </c>
      <c r="BB220" s="77">
        <f t="shared" si="285"/>
        <v>0</v>
      </c>
      <c r="BC220" s="77">
        <f t="shared" si="270"/>
        <v>0</v>
      </c>
      <c r="BD220" s="77">
        <f t="shared" si="286"/>
        <v>0</v>
      </c>
      <c r="BE220" s="77">
        <v>0</v>
      </c>
      <c r="BF220" s="77">
        <f t="shared" si="287"/>
        <v>0</v>
      </c>
      <c r="BG220" s="77">
        <f>VLOOKUP($AJ220,BENE!$I$2:$N$9,6,FALSE)*'Position Control'!$H220</f>
        <v>0</v>
      </c>
      <c r="BH220" s="77">
        <f>VLOOKUP($AK220,BENE!$A$2:$F$19,6,FALSE)*'Position Control'!$H220</f>
        <v>0</v>
      </c>
      <c r="BI220" s="77">
        <f>VLOOKUP($AK220,BENE!$A$2:$G$19,7,FALSE)*'Position Control'!$H220</f>
        <v>0</v>
      </c>
      <c r="BJ220" s="77">
        <f>VLOOKUP($AL220,BENE!$P$2:$S$6,4,FALSE)*'Position Control'!$H220</f>
        <v>0</v>
      </c>
      <c r="BK220" s="77">
        <f>IF($F220&gt;HRS!$H$2,ROUNDUP(((($AN220+$BE220)*$BK$3)/12*9)+(($AN220+$BE220)*HRS!$B$10/12*3),0),0)*$H220</f>
        <v>0</v>
      </c>
      <c r="BL220" s="80">
        <f t="shared" si="288"/>
        <v>20</v>
      </c>
      <c r="BM220" s="77">
        <f t="shared" si="289"/>
        <v>35</v>
      </c>
      <c r="BN220" s="77">
        <f t="shared" si="290"/>
        <v>32</v>
      </c>
      <c r="BO220" s="77">
        <f t="shared" si="291"/>
        <v>0</v>
      </c>
      <c r="BP220" s="77">
        <f t="shared" si="292"/>
        <v>0</v>
      </c>
      <c r="BQ220" s="77">
        <v>0</v>
      </c>
      <c r="BR220" s="80">
        <f t="shared" si="293"/>
        <v>2253</v>
      </c>
    </row>
    <row r="221" spans="1:70" s="9" customFormat="1" outlineLevel="1" x14ac:dyDescent="0.35">
      <c r="A221" s="10" t="s">
        <v>83</v>
      </c>
      <c r="B221" s="10" t="s">
        <v>581</v>
      </c>
      <c r="C221" s="10" t="s">
        <v>8</v>
      </c>
      <c r="D221" s="10" t="s">
        <v>202</v>
      </c>
      <c r="E221" s="10" t="s">
        <v>56</v>
      </c>
      <c r="F221" s="180">
        <v>0.12</v>
      </c>
      <c r="G221" s="183">
        <v>0.12</v>
      </c>
      <c r="H221" s="180">
        <v>1</v>
      </c>
      <c r="I221" s="184" t="s">
        <v>84</v>
      </c>
      <c r="J221" s="184" t="s">
        <v>408</v>
      </c>
      <c r="K221" s="10" t="s">
        <v>586</v>
      </c>
      <c r="L221" s="114" t="s">
        <v>51</v>
      </c>
      <c r="M221" s="10"/>
      <c r="N221" s="10"/>
      <c r="O221" s="10"/>
      <c r="P221" s="10"/>
      <c r="Q221" s="185">
        <v>20220501</v>
      </c>
      <c r="R221" s="196">
        <v>44836</v>
      </c>
      <c r="S221" s="197">
        <f t="shared" si="272"/>
        <v>0</v>
      </c>
      <c r="T221" s="66">
        <f t="shared" si="273"/>
        <v>0</v>
      </c>
      <c r="U221" s="10"/>
      <c r="V221" s="182">
        <v>9.9135000000000009</v>
      </c>
      <c r="W221" s="74"/>
      <c r="X221" s="182"/>
      <c r="Y221" s="74"/>
      <c r="Z221" s="1">
        <v>9102</v>
      </c>
      <c r="AA221" s="112">
        <f>VLOOKUP(Z221,'WRK COMP'!$A$1:$E$17,5,FALSE)</f>
        <v>8.9280000000000002E-3</v>
      </c>
      <c r="AB221" s="76" t="s">
        <v>13</v>
      </c>
      <c r="AC221" s="68">
        <v>0</v>
      </c>
      <c r="AD221" s="68">
        <v>0</v>
      </c>
      <c r="AE221" s="68">
        <v>0</v>
      </c>
      <c r="AF221" s="68">
        <v>0</v>
      </c>
      <c r="AG221" s="68">
        <v>0</v>
      </c>
      <c r="AH221" s="68">
        <v>0</v>
      </c>
      <c r="AI221" s="68">
        <v>0</v>
      </c>
      <c r="AJ221" s="10" t="s">
        <v>49</v>
      </c>
      <c r="AK221" s="10" t="s">
        <v>49</v>
      </c>
      <c r="AL221" s="10" t="s">
        <v>49</v>
      </c>
      <c r="AM221" s="78">
        <f>IF(F221&gt;0.79,IF(ROUNDUP(IF(B221="FS",(V221*HRS!$B$9),(V221*HRS!$L$2))*2,-3)&gt;150000,150000,(ROUNDUP(IF(B221="FS",(V221*HRS!$B$9),(V221*HRS!$L$2))*2,-3))),0)</f>
        <v>0</v>
      </c>
      <c r="AN221" s="188">
        <f t="shared" si="274"/>
        <v>2475</v>
      </c>
      <c r="AO221" s="77">
        <f>IF(L221="N",IF(B221="FS",ROUNDUP($V221*HRS!$B$9*'Position Control'!F221,0),ROUNDUP('Position Control'!$V221*HRS!$L$2*'Position Control'!F221,0)),IF('Position Control'!B221="FS",ROUNDUP(('Position Control'!V221*HRS!$B$9*'Position Control'!W221*'Position Control'!F221)+('Position Control'!X221*HRS!$B$9*'Position Control'!Y221*'Position Control'!F221),0),ROUNDUP(('Position Control'!V221*HRS!$L$2*'Position Control'!W221*'Position Control'!F221)+('Position Control'!X221*HRS!$L$2*'Position Control'!Y221*'Position Control'!F221),0)))*'Position Control'!H221</f>
        <v>2475</v>
      </c>
      <c r="AP221" s="77">
        <f t="shared" si="275"/>
        <v>0</v>
      </c>
      <c r="AQ221" s="77">
        <f t="shared" si="276"/>
        <v>0</v>
      </c>
      <c r="AR221" s="77">
        <f t="shared" si="277"/>
        <v>0</v>
      </c>
      <c r="AS221" s="77">
        <v>0</v>
      </c>
      <c r="AT221" s="79">
        <f t="shared" si="278"/>
        <v>0</v>
      </c>
      <c r="AU221" s="77">
        <f t="shared" si="279"/>
        <v>0</v>
      </c>
      <c r="AV221" s="77">
        <v>0</v>
      </c>
      <c r="AW221" s="77">
        <f t="shared" si="280"/>
        <v>0</v>
      </c>
      <c r="AX221" s="77">
        <f t="shared" si="281"/>
        <v>0</v>
      </c>
      <c r="AY221" s="77">
        <f t="shared" si="282"/>
        <v>0</v>
      </c>
      <c r="AZ221" s="77">
        <f t="shared" si="283"/>
        <v>0</v>
      </c>
      <c r="BA221" s="77">
        <f t="shared" si="284"/>
        <v>0</v>
      </c>
      <c r="BB221" s="77">
        <f t="shared" si="285"/>
        <v>0</v>
      </c>
      <c r="BC221" s="77">
        <f t="shared" ref="BC221:BC224" si="294">SUM(AX221:BB221)</f>
        <v>0</v>
      </c>
      <c r="BD221" s="77">
        <f t="shared" si="286"/>
        <v>0</v>
      </c>
      <c r="BE221" s="77">
        <v>0</v>
      </c>
      <c r="BF221" s="77">
        <f t="shared" si="287"/>
        <v>0</v>
      </c>
      <c r="BG221" s="77">
        <f>VLOOKUP($AJ221,BENE!$I$2:$N$9,6,FALSE)*'Position Control'!$H221</f>
        <v>0</v>
      </c>
      <c r="BH221" s="77">
        <f>VLOOKUP($AK221,BENE!$A$2:$F$19,6,FALSE)*'Position Control'!$H221</f>
        <v>0</v>
      </c>
      <c r="BI221" s="77">
        <f>VLOOKUP($AK221,BENE!$A$2:$G$19,7,FALSE)*'Position Control'!$H221</f>
        <v>0</v>
      </c>
      <c r="BJ221" s="77">
        <f>VLOOKUP($AL221,BENE!$P$2:$S$6,4,FALSE)*'Position Control'!$H221</f>
        <v>0</v>
      </c>
      <c r="BK221" s="77">
        <f>IF($F221&gt;HRS!$H$2,ROUNDUP(((($AN221+$BE221)*$BK$3)/12*9)+(($AN221+$BE221)*HRS!$B$10/12*3),0),0)*$H221</f>
        <v>0</v>
      </c>
      <c r="BL221" s="80">
        <f t="shared" si="288"/>
        <v>23</v>
      </c>
      <c r="BM221" s="77">
        <f t="shared" si="289"/>
        <v>40</v>
      </c>
      <c r="BN221" s="77">
        <f t="shared" si="290"/>
        <v>36</v>
      </c>
      <c r="BO221" s="77">
        <f t="shared" si="291"/>
        <v>0</v>
      </c>
      <c r="BP221" s="77">
        <f t="shared" si="292"/>
        <v>0</v>
      </c>
      <c r="BQ221" s="77">
        <v>0</v>
      </c>
      <c r="BR221" s="80">
        <f t="shared" si="293"/>
        <v>2574</v>
      </c>
    </row>
    <row r="222" spans="1:70" s="171" customFormat="1" x14ac:dyDescent="0.35">
      <c r="A222" s="161"/>
      <c r="B222" s="161"/>
      <c r="C222" s="161"/>
      <c r="D222" s="161"/>
      <c r="E222" s="161"/>
      <c r="F222" s="162"/>
      <c r="G222" s="163">
        <f>SUBTOTAL(9,G213:G221)</f>
        <v>1.19</v>
      </c>
      <c r="H222" s="163"/>
      <c r="I222" s="161" t="s">
        <v>587</v>
      </c>
      <c r="J222" s="161"/>
      <c r="K222" s="161"/>
      <c r="L222" s="164"/>
      <c r="M222" s="161"/>
      <c r="N222" s="161"/>
      <c r="O222" s="161"/>
      <c r="P222" s="161"/>
      <c r="Q222" s="186"/>
      <c r="R222" s="200"/>
      <c r="S222" s="208"/>
      <c r="T222" s="163"/>
      <c r="U222" s="161"/>
      <c r="V222" s="165"/>
      <c r="W222" s="166"/>
      <c r="X222" s="165"/>
      <c r="Y222" s="166"/>
      <c r="Z222" s="161"/>
      <c r="AA222" s="167"/>
      <c r="AB222" s="164"/>
      <c r="AC222" s="168"/>
      <c r="AD222" s="168"/>
      <c r="AE222" s="168"/>
      <c r="AF222" s="168"/>
      <c r="AG222" s="168"/>
      <c r="AH222" s="168"/>
      <c r="AI222" s="168"/>
      <c r="AJ222" s="161"/>
      <c r="AK222" s="161"/>
      <c r="AL222" s="161"/>
      <c r="AM222" s="169"/>
      <c r="AN222" s="189">
        <f t="shared" ref="AN222:BR222" si="295">SUBTOTAL(9,AN213:AN221)</f>
        <v>28749</v>
      </c>
      <c r="AO222" s="170">
        <f t="shared" si="295"/>
        <v>28749</v>
      </c>
      <c r="AP222" s="170">
        <f t="shared" si="295"/>
        <v>0</v>
      </c>
      <c r="AQ222" s="170">
        <f t="shared" si="295"/>
        <v>0</v>
      </c>
      <c r="AR222" s="170">
        <f t="shared" si="295"/>
        <v>0</v>
      </c>
      <c r="AS222" s="170">
        <f t="shared" si="295"/>
        <v>0</v>
      </c>
      <c r="AT222" s="170">
        <f t="shared" si="295"/>
        <v>0</v>
      </c>
      <c r="AU222" s="170">
        <f t="shared" si="295"/>
        <v>0</v>
      </c>
      <c r="AV222" s="170">
        <f t="shared" si="295"/>
        <v>0</v>
      </c>
      <c r="AW222" s="170">
        <f t="shared" si="295"/>
        <v>0</v>
      </c>
      <c r="AX222" s="170">
        <f t="shared" si="295"/>
        <v>0</v>
      </c>
      <c r="AY222" s="170">
        <f t="shared" si="295"/>
        <v>0</v>
      </c>
      <c r="AZ222" s="170">
        <f t="shared" si="295"/>
        <v>0</v>
      </c>
      <c r="BA222" s="170">
        <f t="shared" si="295"/>
        <v>0</v>
      </c>
      <c r="BB222" s="170">
        <f t="shared" si="295"/>
        <v>0</v>
      </c>
      <c r="BC222" s="170">
        <f t="shared" si="295"/>
        <v>0</v>
      </c>
      <c r="BD222" s="170">
        <f t="shared" si="295"/>
        <v>0</v>
      </c>
      <c r="BE222" s="170">
        <f t="shared" si="295"/>
        <v>0</v>
      </c>
      <c r="BF222" s="170">
        <f t="shared" si="295"/>
        <v>0</v>
      </c>
      <c r="BG222" s="170">
        <f t="shared" si="295"/>
        <v>0</v>
      </c>
      <c r="BH222" s="170">
        <f t="shared" si="295"/>
        <v>0</v>
      </c>
      <c r="BI222" s="170">
        <f t="shared" si="295"/>
        <v>0</v>
      </c>
      <c r="BJ222" s="170">
        <f t="shared" si="295"/>
        <v>0</v>
      </c>
      <c r="BK222" s="170">
        <f t="shared" si="295"/>
        <v>0</v>
      </c>
      <c r="BL222" s="170">
        <f t="shared" si="295"/>
        <v>261</v>
      </c>
      <c r="BM222" s="170">
        <f t="shared" si="295"/>
        <v>464</v>
      </c>
      <c r="BN222" s="170">
        <f t="shared" si="295"/>
        <v>421</v>
      </c>
      <c r="BO222" s="170">
        <f t="shared" si="295"/>
        <v>0</v>
      </c>
      <c r="BP222" s="170">
        <f t="shared" si="295"/>
        <v>0</v>
      </c>
      <c r="BQ222" s="170">
        <f t="shared" si="295"/>
        <v>0</v>
      </c>
      <c r="BR222" s="170">
        <f t="shared" si="295"/>
        <v>29895</v>
      </c>
    </row>
    <row r="223" spans="1:70" outlineLevel="1" x14ac:dyDescent="0.35">
      <c r="A223" s="1" t="s">
        <v>6</v>
      </c>
      <c r="B223" s="1" t="s">
        <v>7</v>
      </c>
      <c r="C223" s="1" t="s">
        <v>224</v>
      </c>
      <c r="D223" s="1" t="s">
        <v>202</v>
      </c>
      <c r="E223" s="1" t="s">
        <v>47</v>
      </c>
      <c r="F223" s="2">
        <v>1</v>
      </c>
      <c r="G223" s="66">
        <v>1</v>
      </c>
      <c r="H223" s="66">
        <v>1</v>
      </c>
      <c r="I223" s="1" t="s">
        <v>611</v>
      </c>
      <c r="J223" s="1" t="s">
        <v>612</v>
      </c>
      <c r="K223" s="1" t="s">
        <v>225</v>
      </c>
      <c r="L223" s="76" t="str">
        <f>IF(M223="","N",STEP!$J$22)</f>
        <v>N</v>
      </c>
      <c r="M223" s="1" t="s">
        <v>11</v>
      </c>
      <c r="N223" s="1" t="s">
        <v>11</v>
      </c>
      <c r="O223" s="1" t="s">
        <v>11</v>
      </c>
      <c r="P223" s="1"/>
      <c r="Q223" s="185">
        <v>20210809</v>
      </c>
      <c r="R223" s="196">
        <v>44417</v>
      </c>
      <c r="S223" s="197">
        <f>IF(A223="FT",IF(R223&gt;$S$1,0,(DATEDIF(R223,$S$1,"M"))),0)</f>
        <v>13</v>
      </c>
      <c r="T223" s="66">
        <f>ROUNDDOWN(IF(A223="FT",DATEDIF(R223,$T$1,"y"),0),0)</f>
        <v>2</v>
      </c>
      <c r="U223" s="65" t="s">
        <v>11</v>
      </c>
      <c r="V223" s="70">
        <v>33.9206</v>
      </c>
      <c r="W223" s="74" t="str">
        <f t="shared" si="219"/>
        <v/>
      </c>
      <c r="X223" s="70" t="str" cm="1">
        <f t="array" ref="X223">IF(U223="","",INDEX(STEP!$C:$C,MATCH('Position Control'!M223&amp;'Position Control'!P223,STEP!$A:$A&amp;STEP!$B:$B,0)))</f>
        <v/>
      </c>
      <c r="Y223" s="74" t="str">
        <f>IF(L223="Y",(20221001-U223)/10000,"")</f>
        <v/>
      </c>
      <c r="Z223" s="1">
        <v>9102</v>
      </c>
      <c r="AA223" s="112">
        <f>VLOOKUP(Z223,'WRK COMP'!$A$1:$E$17,5,FALSE)</f>
        <v>8.9280000000000002E-3</v>
      </c>
      <c r="AB223" s="76" t="s">
        <v>13</v>
      </c>
      <c r="AC223" s="68">
        <v>0</v>
      </c>
      <c r="AD223" s="68">
        <v>28.84</v>
      </c>
      <c r="AE223" s="68">
        <v>0</v>
      </c>
      <c r="AF223" s="68">
        <v>0</v>
      </c>
      <c r="AG223" s="68">
        <v>0</v>
      </c>
      <c r="AH223" s="68">
        <v>12.5</v>
      </c>
      <c r="AI223" s="68">
        <v>0</v>
      </c>
      <c r="AJ223" s="1" t="s">
        <v>18</v>
      </c>
      <c r="AK223" s="1" t="s">
        <v>78</v>
      </c>
      <c r="AL223" s="10" t="s">
        <v>49</v>
      </c>
      <c r="AM223" s="78">
        <f>IF(F223&gt;0.79,IF(ROUNDUP(IF(B223="FS",(V223*HRS!$B$9),(V223*HRS!$L$2))*2,-3)&gt;150000,150000,(ROUNDUP(IF(B223="FS",(V223*HRS!$B$9),(V223*HRS!$L$2))*2,-3))),0)</f>
        <v>142000</v>
      </c>
      <c r="AN223" s="188">
        <f>SUM(AO223:BB223)</f>
        <v>72655</v>
      </c>
      <c r="AO223" s="77">
        <f>IF(L223="N",IF(B223="FS",ROUNDUP($V223*HRS!$B$9*'Position Control'!F223,0),ROUNDUP('Position Control'!$V223*HRS!$L$2*'Position Control'!F223,0)),IF('Position Control'!B223="FS",ROUNDUP(('Position Control'!V223*HRS!$B$9*'Position Control'!W223*'Position Control'!F223)+('Position Control'!X223*HRS!$B$9*'Position Control'!Y223*'Position Control'!F223),0),ROUNDUP(('Position Control'!V223*HRS!$L$2*'Position Control'!W223*'Position Control'!F223)+('Position Control'!X223*HRS!$L$2*'Position Control'!Y223*'Position Control'!F223),0)))*'Position Control'!H223</f>
        <v>70555</v>
      </c>
      <c r="AP223" s="77">
        <f>ROUNDUP(52*AC223,0)*H223</f>
        <v>0</v>
      </c>
      <c r="AQ223" s="77">
        <f>IF(B223="FS",ROUNDUP(24*AD223,0),IF(B223="POL",ROUNDUP(26*AD223,0),ROUNDUP(52*AD223,0)))*$H223</f>
        <v>1500</v>
      </c>
      <c r="AR223" s="77">
        <f>IF(B223="FS",ROUNDUP(AG223*24,0),ROUNDUP(52*AG223,0))*H223</f>
        <v>0</v>
      </c>
      <c r="AS223" s="77">
        <v>0</v>
      </c>
      <c r="AT223" s="79">
        <f>ROUNDUP(26*AF223,0)*H223</f>
        <v>0</v>
      </c>
      <c r="AU223" s="77">
        <f>IF(B223="FS",ROUNDUP(24*AH223,0),IF(B223="POL",ROUNDUP(26*AH223,0),ROUNDUP(48*AH223,0)))*$H223</f>
        <v>600</v>
      </c>
      <c r="AV223" s="77">
        <v>0</v>
      </c>
      <c r="AW223" s="77">
        <f>IF(B223="FS",ROUNDUP(24*AE223,0),IF(B223="POL",ROUNDUP(26*AE223,0),ROUNDUP(52*AE223,0)))*$H223</f>
        <v>0</v>
      </c>
      <c r="AX223" s="77">
        <f>IF(AND(Q223&lt;20220401,A223&lt;&gt;"SP"),($AX$3*(AO223+BE223)),0)</f>
        <v>0</v>
      </c>
      <c r="AY223" s="77">
        <f>IF(AND($L223="N",$Q223&lt;20220401,$A223&lt;&gt;"SP",$AO223&lt;100000),($AY$3*($AO223+$BE223)),0)</f>
        <v>0</v>
      </c>
      <c r="AZ223" s="77">
        <f>IF(AND($L223="N",$Q223&lt;20220401,$A223&lt;&gt;"SP",$AO223&gt;100000),($AZ$3*($AO223+$BE223)),0)</f>
        <v>0</v>
      </c>
      <c r="BA223" s="77">
        <f>IF(AND($L223="N",$Q223&lt;20220401,$A223&lt;&gt;"SP"),($BA$3*($AO223+$BE223)),0)</f>
        <v>0</v>
      </c>
      <c r="BB223" s="77">
        <f>IF(AND($L223="Y",$Q223&lt;20220401,$A223&lt;&gt;"SP"),($BB$3*($AO223+$BE223)),0)</f>
        <v>0</v>
      </c>
      <c r="BC223" s="77">
        <f t="shared" si="294"/>
        <v>0</v>
      </c>
      <c r="BD223" s="77">
        <f>IF($S223&gt;=12,IF(($S223*5)&gt;1200,1200,$S223*5),0)*$H223</f>
        <v>65</v>
      </c>
      <c r="BE223" s="77">
        <v>0</v>
      </c>
      <c r="BF223" s="77">
        <f>$AM223*$BF$3*12*$H223</f>
        <v>170.4</v>
      </c>
      <c r="BG223" s="77">
        <f>VLOOKUP($AJ223,BENE!$I$2:$N$9,6,FALSE)*'Position Control'!$H223</f>
        <v>760</v>
      </c>
      <c r="BH223" s="77">
        <f>VLOOKUP($AK223,BENE!$A$2:$F$19,6,FALSE)*'Position Control'!$H223</f>
        <v>18024</v>
      </c>
      <c r="BI223" s="77">
        <f>VLOOKUP($AK223,BENE!$A$2:$G$19,7,FALSE)*'Position Control'!$H223</f>
        <v>0</v>
      </c>
      <c r="BJ223" s="77">
        <f>VLOOKUP($AL223,BENE!$P$2:$S$6,4,FALSE)*'Position Control'!$H223</f>
        <v>0</v>
      </c>
      <c r="BK223" s="77">
        <f>IF($F223&gt;HRS!$H$2,ROUNDUP(((($AN223+$BE223)*$BK$3)/12*9)+(($AN223+$BE223)*HRS!$B$10/12*3),0),0)*$H223</f>
        <v>12250</v>
      </c>
      <c r="BL223" s="80">
        <f>ROUNDUP($AN223*$AA223,0)*$H223</f>
        <v>649</v>
      </c>
      <c r="BM223" s="77">
        <f>ROUNDUP(IF($AN223&gt;9000,$BM$3*9000,$BM$3*$AN223),0)*$H223</f>
        <v>144</v>
      </c>
      <c r="BN223" s="77">
        <f>IF($AB223="Y",ROUNDUP($AN223*$BN$3,0),0)*$H223</f>
        <v>1054</v>
      </c>
      <c r="BO223" s="77">
        <f>IF($A223&lt;&gt;"SP",ROUND($BO$3*$AN223,0)*$H223,0)</f>
        <v>131</v>
      </c>
      <c r="BP223" s="77">
        <f>IF($T223&gt;24,2000,IF($T223&gt;19,1750,IF($T223&gt;14,1500,IF($T223&gt;9.9999999999999,1000,0))))*$H223</f>
        <v>0</v>
      </c>
      <c r="BQ223" s="77">
        <v>0</v>
      </c>
      <c r="BR223" s="80">
        <f>SUM(AO223:AW223)+SUM(BC223:BQ223)</f>
        <v>105902.39999999999</v>
      </c>
    </row>
    <row r="224" spans="1:70" outlineLevel="1" x14ac:dyDescent="0.35">
      <c r="A224" s="1" t="s">
        <v>6</v>
      </c>
      <c r="B224" s="1" t="s">
        <v>7</v>
      </c>
      <c r="C224" s="1" t="s">
        <v>224</v>
      </c>
      <c r="D224" s="1" t="s">
        <v>202</v>
      </c>
      <c r="E224" s="1" t="s">
        <v>47</v>
      </c>
      <c r="F224" s="2">
        <v>1</v>
      </c>
      <c r="G224" s="66">
        <v>0.5</v>
      </c>
      <c r="H224" s="66">
        <v>0.5</v>
      </c>
      <c r="I224" s="1" t="s">
        <v>611</v>
      </c>
      <c r="J224" s="1" t="s">
        <v>612</v>
      </c>
      <c r="K224" s="1" t="s">
        <v>220</v>
      </c>
      <c r="L224" s="76" t="str">
        <f>IF(M224="","N",STEP!$J$22)</f>
        <v>N</v>
      </c>
      <c r="M224" s="1" t="s">
        <v>11</v>
      </c>
      <c r="N224" s="1" t="s">
        <v>11</v>
      </c>
      <c r="O224" s="1" t="s">
        <v>11</v>
      </c>
      <c r="P224" s="1"/>
      <c r="Q224" s="185">
        <v>20051219</v>
      </c>
      <c r="R224" s="196">
        <v>38705</v>
      </c>
      <c r="S224" s="197">
        <f>IF(A224="FT",IF(R224&gt;$S$1,0,(DATEDIF(R224,$S$1,"M"))),0)</f>
        <v>201</v>
      </c>
      <c r="T224" s="66">
        <f>ROUNDDOWN(IF(A224="FT",DATEDIF(R224,$T$1,"y"),0),0)</f>
        <v>17</v>
      </c>
      <c r="U224" s="65" t="s">
        <v>11</v>
      </c>
      <c r="V224" s="70">
        <v>37.005699999999997</v>
      </c>
      <c r="W224" s="74" t="str">
        <f t="shared" si="219"/>
        <v/>
      </c>
      <c r="X224" s="70" t="str" cm="1">
        <f t="array" ref="X224">IF(U224="","",INDEX(STEP!$C:$C,MATCH('Position Control'!M224&amp;'Position Control'!P224,STEP!$A:$A&amp;STEP!$B:$B,0)))</f>
        <v/>
      </c>
      <c r="Y224" s="74" t="str">
        <f>IF(L224="Y",(20221001-U224)/10000,"")</f>
        <v/>
      </c>
      <c r="Z224" s="1">
        <v>9102</v>
      </c>
      <c r="AA224" s="112">
        <f>VLOOKUP(Z224,'WRK COMP'!$A$1:$E$17,5,FALSE)</f>
        <v>8.9280000000000002E-3</v>
      </c>
      <c r="AB224" s="76" t="s">
        <v>13</v>
      </c>
      <c r="AC224" s="68">
        <v>0</v>
      </c>
      <c r="AD224" s="68">
        <v>51.94</v>
      </c>
      <c r="AE224" s="68">
        <v>0</v>
      </c>
      <c r="AF224" s="68">
        <v>0</v>
      </c>
      <c r="AG224" s="68">
        <v>0</v>
      </c>
      <c r="AH224" s="68">
        <v>0</v>
      </c>
      <c r="AI224" s="68">
        <v>0</v>
      </c>
      <c r="AJ224" s="1" t="s">
        <v>14</v>
      </c>
      <c r="AK224" s="1" t="s">
        <v>15</v>
      </c>
      <c r="AL224" s="1" t="s">
        <v>36</v>
      </c>
      <c r="AM224" s="78">
        <f>IF(F224&gt;0.79,IF(ROUNDUP(IF(B224="FS",(V224*HRS!$B$9),(V224*HRS!$L$2))*2,-3)&gt;150000,150000,(ROUNDUP(IF(B224="FS",(V224*HRS!$B$9),(V224*HRS!$L$2))*2,-3))),0)</f>
        <v>150000</v>
      </c>
      <c r="AN224" s="188">
        <f>SUM(AO224:BB224)</f>
        <v>39836.5</v>
      </c>
      <c r="AO224" s="77">
        <f>IF(L224="N",IF(B224="FS",ROUNDUP($V224*HRS!$B$9*'Position Control'!F224,0),ROUNDUP('Position Control'!$V224*HRS!$L$2*'Position Control'!F224,0)),IF('Position Control'!B224="FS",ROUNDUP(('Position Control'!V224*HRS!$B$9*'Position Control'!W224*'Position Control'!F224)+('Position Control'!X224*HRS!$B$9*'Position Control'!Y224*'Position Control'!F224),0),ROUNDUP(('Position Control'!V224*HRS!$L$2*'Position Control'!W224*'Position Control'!F224)+('Position Control'!X224*HRS!$L$2*'Position Control'!Y224*'Position Control'!F224),0)))*'Position Control'!H224</f>
        <v>38486</v>
      </c>
      <c r="AP224" s="77">
        <f>ROUNDUP(52*AC224,0)*H224</f>
        <v>0</v>
      </c>
      <c r="AQ224" s="77">
        <f>IF(B224="FS",ROUNDUP(24*AD224,0),IF(B224="POL",ROUNDUP(26*AD224,0),ROUNDUP(52*AD224,0)))*$H224</f>
        <v>1350.5</v>
      </c>
      <c r="AR224" s="77">
        <f>IF(B224="FS",ROUNDUP(AG224*24,0),ROUNDUP(52*AG224,0))*H224</f>
        <v>0</v>
      </c>
      <c r="AS224" s="77">
        <v>0</v>
      </c>
      <c r="AT224" s="79">
        <f>ROUNDUP(26*AF224,0)*H224</f>
        <v>0</v>
      </c>
      <c r="AU224" s="77">
        <f>IF(B224="FS",ROUNDUP(24*AH224,0),IF(B224="POL",ROUNDUP(26*AH224,0),ROUNDUP(48*AH224,0)))*$H224</f>
        <v>0</v>
      </c>
      <c r="AV224" s="77">
        <v>0</v>
      </c>
      <c r="AW224" s="77">
        <f>IF(B224="FS",ROUNDUP(24*AE224,0),IF(B224="POL",ROUNDUP(26*AE224,0),ROUNDUP(52*AE224,0)))*$H224</f>
        <v>0</v>
      </c>
      <c r="AX224" s="77">
        <f>IF(AND(Q224&lt;20220401,A224&lt;&gt;"SP"),($AX$3*(AO224+BE224)),0)</f>
        <v>0</v>
      </c>
      <c r="AY224" s="77">
        <f>IF(AND($L224="N",$Q224&lt;20220401,$A224&lt;&gt;"SP",$AO224&lt;100000),($AY$3*($AO224+$BE224)),0)</f>
        <v>0</v>
      </c>
      <c r="AZ224" s="77">
        <f>IF(AND($L224="N",$Q224&lt;20220401,$A224&lt;&gt;"SP",$AO224&gt;100000),($AZ$3*($AO224+$BE224)),0)</f>
        <v>0</v>
      </c>
      <c r="BA224" s="77">
        <f>IF(AND($L224="N",$Q224&lt;20220401,$A224&lt;&gt;"SP"),($BA$3*($AO224+$BE224)),0)</f>
        <v>0</v>
      </c>
      <c r="BB224" s="77">
        <f>IF(AND($L224="Y",$Q224&lt;20220401,$A224&lt;&gt;"SP"),($BB$3*($AO224+$BE224)),0)</f>
        <v>0</v>
      </c>
      <c r="BC224" s="77">
        <f t="shared" si="294"/>
        <v>0</v>
      </c>
      <c r="BD224" s="77">
        <f>IF($S224&gt;=12,IF(($S224*5)&gt;1200,1200,$S224*5),0)*$H224</f>
        <v>502.5</v>
      </c>
      <c r="BE224" s="77">
        <v>0</v>
      </c>
      <c r="BF224" s="77">
        <f>$AM224*$BF$3*12*$H224</f>
        <v>90</v>
      </c>
      <c r="BG224" s="77">
        <f>VLOOKUP($AJ224,BENE!$I$2:$N$9,6,FALSE)*'Position Control'!$H224</f>
        <v>194.5</v>
      </c>
      <c r="BH224" s="77">
        <f>VLOOKUP($AK224,BENE!$A$2:$F$19,6,FALSE)*'Position Control'!$H224</f>
        <v>3071</v>
      </c>
      <c r="BI224" s="77">
        <f>VLOOKUP($AK224,BENE!$A$2:$G$19,7,FALSE)*'Position Control'!$H224</f>
        <v>500</v>
      </c>
      <c r="BJ224" s="77">
        <f>VLOOKUP($AL224,BENE!$P$2:$S$6,4,FALSE)*'Position Control'!$H224</f>
        <v>156</v>
      </c>
      <c r="BK224" s="77">
        <f>IF($F224&gt;HRS!$H$2,ROUNDUP(((($AN224+$BE224)*$BK$3)/12*9)+(($AN224+$BE224)*HRS!$B$10/12*3),0),0)*$H224</f>
        <v>3358.5</v>
      </c>
      <c r="BL224" s="80">
        <f>ROUNDUP($AN224*$AA224,0)*$H224</f>
        <v>178</v>
      </c>
      <c r="BM224" s="77">
        <f>ROUNDUP(IF($AN224&gt;9000,$BM$3*9000,$BM$3*$AN224),0)*$H224</f>
        <v>72</v>
      </c>
      <c r="BN224" s="77">
        <f>IF($AB224="Y",ROUNDUP($AN224*$BN$3,0),0)*$H224</f>
        <v>289</v>
      </c>
      <c r="BO224" s="77">
        <f>IF($A224&lt;&gt;"SP",ROUND($BO$3*$AN224,0)*$H224,0)</f>
        <v>36</v>
      </c>
      <c r="BP224" s="77">
        <f>IF($T224&gt;24,2000,IF($T224&gt;19,1750,IF($T224&gt;14,1500,IF($T224&gt;9.9999999999999,1000,0))))*$H224</f>
        <v>750</v>
      </c>
      <c r="BQ224" s="77">
        <v>0</v>
      </c>
      <c r="BR224" s="80">
        <f>SUM(AO224:AW224)+SUM(BC224:BQ224)</f>
        <v>49034</v>
      </c>
    </row>
    <row r="225" spans="1:70" outlineLevel="1" x14ac:dyDescent="0.35">
      <c r="A225" s="1" t="s">
        <v>6</v>
      </c>
      <c r="B225" s="1" t="s">
        <v>7</v>
      </c>
      <c r="C225" s="1" t="s">
        <v>224</v>
      </c>
      <c r="D225" s="1" t="s">
        <v>202</v>
      </c>
      <c r="E225" s="1" t="s">
        <v>47</v>
      </c>
      <c r="F225" s="2">
        <v>1</v>
      </c>
      <c r="G225" s="66">
        <v>0.5</v>
      </c>
      <c r="H225" s="66">
        <v>0.5</v>
      </c>
      <c r="I225" s="1" t="s">
        <v>611</v>
      </c>
      <c r="J225" s="1" t="s">
        <v>612</v>
      </c>
      <c r="K225" s="1" t="s">
        <v>217</v>
      </c>
      <c r="L225" s="76" t="str">
        <f>IF(M225="","N",STEP!$J$22)</f>
        <v>N</v>
      </c>
      <c r="M225" s="1" t="s">
        <v>11</v>
      </c>
      <c r="N225" s="1" t="s">
        <v>11</v>
      </c>
      <c r="O225" s="1" t="s">
        <v>11</v>
      </c>
      <c r="P225" s="1"/>
      <c r="Q225" s="185">
        <v>20150601</v>
      </c>
      <c r="R225" s="196">
        <v>42156</v>
      </c>
      <c r="S225" s="197">
        <f>IF(A225="FT",IF(R225&gt;$S$1,0,(DATEDIF(R225,$S$1,"M"))),0)</f>
        <v>87</v>
      </c>
      <c r="T225" s="66">
        <f>ROUNDDOWN(IF(A225="FT",DATEDIF(R225,$T$1,"y"),0),0)</f>
        <v>8</v>
      </c>
      <c r="U225" s="65" t="s">
        <v>11</v>
      </c>
      <c r="V225" s="192">
        <v>22.722300000000001</v>
      </c>
      <c r="W225" s="74" t="str">
        <f t="shared" si="219"/>
        <v/>
      </c>
      <c r="X225" s="70" t="str" cm="1">
        <f t="array" ref="X225">IF(U225="","",INDEX(STEP!$C:$C,MATCH('Position Control'!M225&amp;'Position Control'!P225,STEP!$A:$A&amp;STEP!$B:$B,0)))</f>
        <v/>
      </c>
      <c r="Y225" s="74" t="str">
        <f>IF(L225="Y",(20221001-U225)/10000,"")</f>
        <v/>
      </c>
      <c r="Z225" s="1">
        <v>9102</v>
      </c>
      <c r="AA225" s="112">
        <f>VLOOKUP(Z225,'WRK COMP'!$A$1:$E$17,5,FALSE)</f>
        <v>8.9280000000000002E-3</v>
      </c>
      <c r="AB225" s="76" t="s">
        <v>13</v>
      </c>
      <c r="AC225" s="68">
        <v>0</v>
      </c>
      <c r="AD225" s="68">
        <v>0</v>
      </c>
      <c r="AE225" s="68">
        <v>0</v>
      </c>
      <c r="AF225" s="68">
        <v>0</v>
      </c>
      <c r="AG225" s="68">
        <v>0</v>
      </c>
      <c r="AH225" s="68">
        <v>0</v>
      </c>
      <c r="AI225" s="68">
        <v>0</v>
      </c>
      <c r="AJ225" s="1" t="s">
        <v>61</v>
      </c>
      <c r="AK225" s="1" t="s">
        <v>35</v>
      </c>
      <c r="AL225" s="1" t="s">
        <v>36</v>
      </c>
      <c r="AM225" s="78">
        <f>IF(F225&gt;0.79,IF(ROUNDUP(IF(B225="FS",(V225*HRS!$B$9),(V225*HRS!$L$2))*2,-3)&gt;150000,150000,(ROUNDUP(IF(B225="FS",(V225*HRS!$B$9),(V225*HRS!$L$2))*2,-3))),0)</f>
        <v>95000</v>
      </c>
      <c r="AN225" s="188">
        <f>SUM(AO225:BB225)</f>
        <v>23631.5</v>
      </c>
      <c r="AO225" s="77">
        <f>IF(L225="N",IF(B225="FS",ROUNDUP($V225*HRS!$B$9*'Position Control'!F225,0),ROUNDUP('Position Control'!$V225*HRS!$L$2*'Position Control'!F225,0)),IF('Position Control'!B225="FS",ROUNDUP(('Position Control'!V225*HRS!$B$9*'Position Control'!W225*'Position Control'!F225)+('Position Control'!X225*HRS!$B$9*'Position Control'!Y225*'Position Control'!F225),0),ROUNDUP(('Position Control'!V225*HRS!$L$2*'Position Control'!W225*'Position Control'!F225)+('Position Control'!X225*HRS!$L$2*'Position Control'!Y225*'Position Control'!F225),0)))*'Position Control'!H225</f>
        <v>23631.5</v>
      </c>
      <c r="AP225" s="77">
        <f>ROUNDUP(52*AC225,0)*H225</f>
        <v>0</v>
      </c>
      <c r="AQ225" s="77">
        <f>IF(B225="FS",ROUNDUP(24*AD225,0),IF(B225="POL",ROUNDUP(26*AD225,0),ROUNDUP(52*AD225,0)))*$H225</f>
        <v>0</v>
      </c>
      <c r="AR225" s="77">
        <f>IF(B225="FS",ROUNDUP(AG225*24,0),ROUNDUP(52*AG225,0))*H225</f>
        <v>0</v>
      </c>
      <c r="AS225" s="77">
        <v>0</v>
      </c>
      <c r="AT225" s="79">
        <f>ROUNDUP(26*AF225,0)*H225</f>
        <v>0</v>
      </c>
      <c r="AU225" s="77">
        <f>IF(B225="FS",ROUNDUP(24*AH225,0),IF(B225="POL",ROUNDUP(26*AH225,0),ROUNDUP(48*AH225,0)))*$H225</f>
        <v>0</v>
      </c>
      <c r="AV225" s="77">
        <v>0</v>
      </c>
      <c r="AW225" s="77">
        <f>IF(B225="FS",ROUNDUP(24*AE225,0),IF(B225="POL",ROUNDUP(26*AE225,0),ROUNDUP(52*AE225,0)))*$H225</f>
        <v>0</v>
      </c>
      <c r="AX225" s="77">
        <f>IF(AND(Q225&lt;20220401,A225&lt;&gt;"SP"),($AX$3*(AO225+BE225)),0)</f>
        <v>0</v>
      </c>
      <c r="AY225" s="77">
        <f>IF(AND($L225="N",$Q225&lt;20220401,$A225&lt;&gt;"SP",$AO225&lt;100000),($AY$3*($AO225+$BE225)),0)</f>
        <v>0</v>
      </c>
      <c r="AZ225" s="77">
        <f>IF(AND($L225="N",$Q225&lt;20220401,$A225&lt;&gt;"SP",$AO225&gt;100000),($AZ$3*($AO225+$BE225)),0)</f>
        <v>0</v>
      </c>
      <c r="BA225" s="77">
        <f>IF(AND($L225="N",$Q225&lt;20220401,$A225&lt;&gt;"SP"),($BA$3*($AO225+$BE225)),0)</f>
        <v>0</v>
      </c>
      <c r="BB225" s="77">
        <f>IF(AND($L225="Y",$Q225&lt;20220401,$A225&lt;&gt;"SP"),($BB$3*($AO225+$BE225)),0)</f>
        <v>0</v>
      </c>
      <c r="BC225" s="77">
        <f t="shared" ref="BC225:BC264" si="296">SUM(AX225:BB225)</f>
        <v>0</v>
      </c>
      <c r="BD225" s="77">
        <f>IF($S225&gt;=12,IF(($S225*5)&gt;1200,1200,$S225*5),0)*$H225</f>
        <v>217.5</v>
      </c>
      <c r="BE225" s="77">
        <v>0</v>
      </c>
      <c r="BF225" s="77">
        <f>$AM225*$BF$3*12*$H225</f>
        <v>57</v>
      </c>
      <c r="BG225" s="77">
        <f>VLOOKUP($AJ225,BENE!$I$2:$N$9,6,FALSE)*'Position Control'!$H225</f>
        <v>155.5</v>
      </c>
      <c r="BH225" s="77">
        <f>VLOOKUP($AK225,BENE!$A$2:$F$19,6,FALSE)*'Position Control'!$H225</f>
        <v>5033.5</v>
      </c>
      <c r="BI225" s="77">
        <f>VLOOKUP($AK225,BENE!$A$2:$G$19,7,FALSE)*'Position Control'!$H225</f>
        <v>750</v>
      </c>
      <c r="BJ225" s="77">
        <f>VLOOKUP($AL225,BENE!$P$2:$S$6,4,FALSE)*'Position Control'!$H225</f>
        <v>156</v>
      </c>
      <c r="BK225" s="77">
        <f>IF($F225&gt;HRS!$H$2,ROUNDUP(((($AN225+$BE225)*$BK$3)/12*9)+(($AN225+$BE225)*HRS!$B$10/12*3),0),0)*$H225</f>
        <v>1992.5</v>
      </c>
      <c r="BL225" s="80">
        <f>ROUNDUP($AN225*$AA225,0)*$H225</f>
        <v>105.5</v>
      </c>
      <c r="BM225" s="77">
        <f>ROUNDUP(IF($AN225&gt;9000,$BM$3*9000,$BM$3*$AN225),0)*$H225</f>
        <v>72</v>
      </c>
      <c r="BN225" s="77">
        <f>IF($AB225="Y",ROUNDUP($AN225*$BN$3,0),0)*$H225</f>
        <v>171.5</v>
      </c>
      <c r="BO225" s="77">
        <f>IF($A225&lt;&gt;"SP",ROUND($BO$3*$AN225,0)*$H225,0)</f>
        <v>21.5</v>
      </c>
      <c r="BP225" s="77">
        <f>IF($T225&gt;24,2000,IF($T225&gt;19,1750,IF($T225&gt;14,1500,IF($T225&gt;9.9999999999999,1000,0))))*$H225</f>
        <v>0</v>
      </c>
      <c r="BQ225" s="77">
        <v>0</v>
      </c>
      <c r="BR225" s="80">
        <f>SUM(AO225:AW225)+SUM(BC225:BQ225)</f>
        <v>32364</v>
      </c>
    </row>
    <row r="226" spans="1:70" outlineLevel="1" x14ac:dyDescent="0.35">
      <c r="A226" s="1" t="s">
        <v>6</v>
      </c>
      <c r="B226" s="1" t="s">
        <v>7</v>
      </c>
      <c r="C226" s="1" t="s">
        <v>8</v>
      </c>
      <c r="D226" s="1" t="s">
        <v>202</v>
      </c>
      <c r="E226" s="1" t="s">
        <v>216</v>
      </c>
      <c r="F226" s="2">
        <v>1</v>
      </c>
      <c r="G226" s="66">
        <v>0.5</v>
      </c>
      <c r="H226" s="66">
        <v>0.5</v>
      </c>
      <c r="I226" s="1" t="s">
        <v>611</v>
      </c>
      <c r="J226" s="1" t="s">
        <v>612</v>
      </c>
      <c r="K226" s="10" t="s">
        <v>589</v>
      </c>
      <c r="L226" s="76" t="str">
        <f>IF(M226="","N",STEP!$J$22)</f>
        <v>N</v>
      </c>
      <c r="M226" s="1"/>
      <c r="N226" s="1"/>
      <c r="O226" s="1"/>
      <c r="P226" s="1"/>
      <c r="Q226" s="185">
        <v>20210719</v>
      </c>
      <c r="R226" s="196">
        <v>44396</v>
      </c>
      <c r="S226" s="197">
        <f>IF(A226="FT",IF(R226&gt;$S$1,0,(DATEDIF(R226,$S$1,"M"))),0)</f>
        <v>14</v>
      </c>
      <c r="T226" s="66">
        <f>ROUNDDOWN(IF(A226="FT",DATEDIF(R226,$T$1,"y"),0),0)</f>
        <v>2</v>
      </c>
      <c r="U226" s="65"/>
      <c r="V226" s="70">
        <v>21.4343</v>
      </c>
      <c r="W226" s="74"/>
      <c r="X226" s="70"/>
      <c r="Y226" s="74"/>
      <c r="Z226" s="1">
        <v>9102</v>
      </c>
      <c r="AA226" s="112">
        <f>VLOOKUP(Z226,'WRK COMP'!$A$1:$E$17,5,FALSE)</f>
        <v>8.9280000000000002E-3</v>
      </c>
      <c r="AB226" s="76" t="s">
        <v>13</v>
      </c>
      <c r="AC226" s="68">
        <v>0</v>
      </c>
      <c r="AD226" s="68">
        <v>0</v>
      </c>
      <c r="AE226" s="68">
        <v>0</v>
      </c>
      <c r="AF226" s="68">
        <v>0</v>
      </c>
      <c r="AG226" s="68">
        <v>0</v>
      </c>
      <c r="AH226" s="68">
        <v>0</v>
      </c>
      <c r="AI226" s="68">
        <v>0</v>
      </c>
      <c r="AJ226" s="10" t="s">
        <v>14</v>
      </c>
      <c r="AK226" s="10" t="s">
        <v>49</v>
      </c>
      <c r="AL226" s="10" t="s">
        <v>16</v>
      </c>
      <c r="AM226" s="78">
        <f>IF(F226&gt;0.79,IF(ROUNDUP(IF(B226="FS",(V226*HRS!$B$9),(V226*HRS!$L$2))*2,-3)&gt;150000,150000,(ROUNDUP(IF(B226="FS",(V226*HRS!$B$9),(V226*HRS!$L$2))*2,-3))),0)</f>
        <v>90000</v>
      </c>
      <c r="AN226" s="188">
        <f>SUM(AO226:BB226)</f>
        <v>22292</v>
      </c>
      <c r="AO226" s="77">
        <f>IF(L226="N",IF(B226="FS",ROUNDUP($V226*HRS!$B$9*'Position Control'!F226,0),ROUNDUP('Position Control'!$V226*HRS!$L$2*'Position Control'!F226,0)),IF('Position Control'!B226="FS",ROUNDUP(('Position Control'!V226*HRS!$B$9*'Position Control'!W226*'Position Control'!F226)+('Position Control'!X226*HRS!$B$9*'Position Control'!Y226*'Position Control'!F226),0),ROUNDUP(('Position Control'!V226*HRS!$L$2*'Position Control'!W226*'Position Control'!F226)+('Position Control'!X226*HRS!$L$2*'Position Control'!Y226*'Position Control'!F226),0)))*'Position Control'!H226</f>
        <v>22292</v>
      </c>
      <c r="AP226" s="77">
        <f>ROUNDUP(52*AC226,0)*H226</f>
        <v>0</v>
      </c>
      <c r="AQ226" s="77">
        <f>IF(B226="FS",ROUNDUP(24*AD226,0),IF(B226="POL",ROUNDUP(26*AD226,0),ROUNDUP(52*AD226,0)))*$H226</f>
        <v>0</v>
      </c>
      <c r="AR226" s="77">
        <f>IF(B226="FS",ROUNDUP(AG226*24,0),ROUNDUP(52*AG226,0))*H226</f>
        <v>0</v>
      </c>
      <c r="AS226" s="77">
        <v>0</v>
      </c>
      <c r="AT226" s="79">
        <f>ROUNDUP(26*AF226,0)*H226</f>
        <v>0</v>
      </c>
      <c r="AU226" s="77">
        <f>IF(B226="FS",ROUNDUP(24*AH226,0),IF(B226="POL",ROUNDUP(26*AH226,0),ROUNDUP(48*AH226,0)))*$H226</f>
        <v>0</v>
      </c>
      <c r="AV226" s="77">
        <v>0</v>
      </c>
      <c r="AW226" s="77">
        <f>IF(B226="FS",ROUNDUP(24*AE226,0),IF(B226="POL",ROUNDUP(26*AE226,0),ROUNDUP(52*AE226,0)))*$H226</f>
        <v>0</v>
      </c>
      <c r="AX226" s="77">
        <f>IF(AND(Q226&lt;20220401,A226&lt;&gt;"SP"),($AX$3*(AO226+BE226)),0)</f>
        <v>0</v>
      </c>
      <c r="AY226" s="77">
        <f>IF(AND($L226="N",$Q226&lt;20220401,$A226&lt;&gt;"SP",$AO226&lt;100000),($AY$3*($AO226+$BE226)),0)</f>
        <v>0</v>
      </c>
      <c r="AZ226" s="77">
        <f>IF(AND($L226="N",$Q226&lt;20220401,$A226&lt;&gt;"SP",$AO226&gt;100000),($AZ$3*($AO226+$BE226)),0)</f>
        <v>0</v>
      </c>
      <c r="BA226" s="77">
        <f>IF(AND($L226="N",$Q226&lt;20220401,$A226&lt;&gt;"SP"),($BA$3*($AO226+$BE226)),0)</f>
        <v>0</v>
      </c>
      <c r="BB226" s="77">
        <f>IF(AND($L226="Y",$Q226&lt;20220401,$A226&lt;&gt;"SP"),($BB$3*($AO226+$BE226)),0)</f>
        <v>0</v>
      </c>
      <c r="BC226" s="77">
        <f t="shared" si="296"/>
        <v>0</v>
      </c>
      <c r="BD226" s="77">
        <f>IF($S226&gt;=12,IF(($S226*5)&gt;1200,1200,$S226*5),0)*$H226</f>
        <v>35</v>
      </c>
      <c r="BE226" s="77">
        <v>0</v>
      </c>
      <c r="BF226" s="77">
        <f>$AM226*$BF$3*12*$H226</f>
        <v>54</v>
      </c>
      <c r="BG226" s="77">
        <f>VLOOKUP($AJ226,BENE!$I$2:$N$9,6,FALSE)*'Position Control'!$H226</f>
        <v>194.5</v>
      </c>
      <c r="BH226" s="77">
        <f>VLOOKUP($AK226,BENE!$A$2:$F$19,6,FALSE)*'Position Control'!$H226</f>
        <v>0</v>
      </c>
      <c r="BI226" s="77">
        <f>VLOOKUP($AK226,BENE!$A$2:$G$19,7,FALSE)*'Position Control'!$H226</f>
        <v>0</v>
      </c>
      <c r="BJ226" s="77">
        <f>VLOOKUP($AL226,BENE!$P$2:$S$6,4,FALSE)*'Position Control'!$H226</f>
        <v>120</v>
      </c>
      <c r="BK226" s="77">
        <f>IF($F226&gt;HRS!$H$2,ROUNDUP(((($AN226+$BE226)*$BK$3)/12*9)+(($AN226+$BE226)*HRS!$B$10/12*3),0),0)*$H226</f>
        <v>1879.5</v>
      </c>
      <c r="BL226" s="80">
        <f>ROUNDUP($AN226*$AA226,0)*$H226</f>
        <v>100</v>
      </c>
      <c r="BM226" s="77">
        <f>ROUNDUP(IF($AN226&gt;9000,$BM$3*9000,$BM$3*$AN226),0)*$H226</f>
        <v>72</v>
      </c>
      <c r="BN226" s="77">
        <f>IF($AB226="Y",ROUNDUP($AN226*$BN$3,0),0)*$H226</f>
        <v>162</v>
      </c>
      <c r="BO226" s="77">
        <f>IF($A226&lt;&gt;"SP",ROUND($BO$3*$AN226,0)*$H226,0)</f>
        <v>20</v>
      </c>
      <c r="BP226" s="77">
        <f>IF($T226&gt;24,2000,IF($T226&gt;19,1750,IF($T226&gt;14,1500,IF($T226&gt;9.9999999999999,1000,0))))*$H226</f>
        <v>0</v>
      </c>
      <c r="BQ226" s="77">
        <v>0</v>
      </c>
      <c r="BR226" s="80">
        <f>SUM(AO226:AW226)+SUM(BC226:BQ226)</f>
        <v>24929</v>
      </c>
    </row>
    <row r="227" spans="1:70" outlineLevel="1" x14ac:dyDescent="0.35">
      <c r="A227" s="1" t="s">
        <v>6</v>
      </c>
      <c r="B227" s="1" t="s">
        <v>7</v>
      </c>
      <c r="C227" s="1" t="s">
        <v>224</v>
      </c>
      <c r="D227" s="1" t="s">
        <v>202</v>
      </c>
      <c r="E227" s="1" t="s">
        <v>47</v>
      </c>
      <c r="F227" s="2">
        <v>1</v>
      </c>
      <c r="G227" s="66">
        <v>0</v>
      </c>
      <c r="H227" s="66">
        <v>1</v>
      </c>
      <c r="I227" s="10" t="s">
        <v>409</v>
      </c>
      <c r="J227" s="10" t="s">
        <v>410</v>
      </c>
      <c r="K227" s="1"/>
      <c r="L227" s="76" t="str">
        <f>IF(M227="","N",STEP!$J$22)</f>
        <v>N</v>
      </c>
      <c r="M227" s="1"/>
      <c r="N227" s="1"/>
      <c r="O227" s="1"/>
      <c r="P227" s="1"/>
      <c r="Q227" s="185">
        <v>20221002</v>
      </c>
      <c r="R227" s="196">
        <v>44836</v>
      </c>
      <c r="S227" s="197">
        <f>IF(A227="FT",IF(R227&gt;$S$1,0,(DATEDIF(R227,$S$1,"M"))),0)</f>
        <v>0</v>
      </c>
      <c r="T227" s="66">
        <f>ROUNDDOWN(IF(A227="FT",DATEDIF(R227,$T$1,"y"),0),0)</f>
        <v>0</v>
      </c>
      <c r="U227" s="1"/>
      <c r="V227" s="70">
        <v>0</v>
      </c>
      <c r="W227" s="74"/>
      <c r="X227" s="70"/>
      <c r="Y227" s="74"/>
      <c r="Z227" s="1">
        <v>9102</v>
      </c>
      <c r="AA227" s="112">
        <f>VLOOKUP(Z227,'WRK COMP'!$A$1:$E$17,5,FALSE)</f>
        <v>8.9280000000000002E-3</v>
      </c>
      <c r="AB227" s="76" t="s">
        <v>13</v>
      </c>
      <c r="AC227" s="68">
        <v>0</v>
      </c>
      <c r="AD227" s="68">
        <v>0</v>
      </c>
      <c r="AE227" s="68">
        <v>0</v>
      </c>
      <c r="AF227" s="68">
        <v>0</v>
      </c>
      <c r="AG227" s="68">
        <v>0</v>
      </c>
      <c r="AH227" s="68">
        <v>0</v>
      </c>
      <c r="AI227" s="68">
        <v>0</v>
      </c>
      <c r="AJ227" s="10" t="s">
        <v>49</v>
      </c>
      <c r="AK227" s="10" t="s">
        <v>49</v>
      </c>
      <c r="AL227" s="10" t="s">
        <v>49</v>
      </c>
      <c r="AM227" s="78">
        <f>IF(F227&gt;0.79,IF(ROUNDUP(IF(B227="FS",(V227*HRS!$B$9),(V227*HRS!$L$2))*2,-3)&gt;150000,150000,(ROUNDUP(IF(B227="FS",(V227*HRS!$B$9),(V227*HRS!$L$2))*2,-3))),0)</f>
        <v>0</v>
      </c>
      <c r="AN227" s="188">
        <f>SUM(AO227:BB227)</f>
        <v>0</v>
      </c>
      <c r="AO227" s="77">
        <f>IF(L227="N",IF(B227="FS",ROUNDUP($V227*HRS!$B$9*'Position Control'!F227,0),ROUNDUP('Position Control'!$V227*HRS!$L$2*'Position Control'!F227,0)),IF('Position Control'!B227="FS",ROUNDUP(('Position Control'!V227*HRS!$B$9*'Position Control'!W227*'Position Control'!F227)+('Position Control'!X227*HRS!$B$9*'Position Control'!Y227*'Position Control'!F227),0),ROUNDUP(('Position Control'!V227*HRS!$L$2*'Position Control'!W227*'Position Control'!F227)+('Position Control'!X227*HRS!$L$2*'Position Control'!Y227*'Position Control'!F227),0)))*'Position Control'!H227</f>
        <v>0</v>
      </c>
      <c r="AP227" s="77">
        <f>ROUNDUP(52*AC227,0)*H227</f>
        <v>0</v>
      </c>
      <c r="AQ227" s="77">
        <f>IF(B227="FS",ROUNDUP(24*AD227,0),IF(B227="POL",ROUNDUP(26*AD227,0),ROUNDUP(52*AD227,0)))*$H227</f>
        <v>0</v>
      </c>
      <c r="AR227" s="77">
        <f>IF(B227="FS",ROUNDUP(AG227*24,0),ROUNDUP(52*AG227,0))*H227</f>
        <v>0</v>
      </c>
      <c r="AS227" s="77">
        <v>0</v>
      </c>
      <c r="AT227" s="79">
        <f>ROUNDUP(26*AF227,0)*H227</f>
        <v>0</v>
      </c>
      <c r="AU227" s="77">
        <f>IF(B227="FS",ROUNDUP(24*AH227,0),IF(B227="POL",ROUNDUP(26*AH227,0),ROUNDUP(48*AH227,0)))*$H227</f>
        <v>0</v>
      </c>
      <c r="AV227" s="77">
        <v>0</v>
      </c>
      <c r="AW227" s="77">
        <f>IF(B227="FS",ROUNDUP(24*AE227,0),IF(B227="POL",ROUNDUP(26*AE227,0),ROUNDUP(52*AE227,0)))*$H227</f>
        <v>0</v>
      </c>
      <c r="AX227" s="77">
        <f>IF(AND(Q227&lt;20220401,A227&lt;&gt;"SP"),($AX$3*(AO227+BE227)),0)</f>
        <v>0</v>
      </c>
      <c r="AY227" s="77">
        <f>IF(AND($L227="N",$Q227&lt;20220401,$A227&lt;&gt;"SP",$AO227&lt;100000),($AY$3*($AO227+$BE227)),0)</f>
        <v>0</v>
      </c>
      <c r="AZ227" s="77">
        <f>IF(AND($L227="N",$Q227&lt;20220401,$A227&lt;&gt;"SP",$AO227&gt;100000),($AZ$3*($AO227+$BE227)),0)</f>
        <v>0</v>
      </c>
      <c r="BA227" s="77">
        <f>IF(AND($L227="N",$Q227&lt;20220401,$A227&lt;&gt;"SP"),($BA$3*($AO227+$BE227)),0)</f>
        <v>0</v>
      </c>
      <c r="BB227" s="77">
        <f>IF(AND($L227="Y",$Q227&lt;20220401,$A227&lt;&gt;"SP"),($BB$3*($AO227+$BE227)),0)</f>
        <v>0</v>
      </c>
      <c r="BC227" s="77">
        <f t="shared" si="296"/>
        <v>0</v>
      </c>
      <c r="BD227" s="77">
        <f>IF($S227&gt;=12,IF(($S227*5)&gt;1200,1200,$S227*5),0)*$H227</f>
        <v>0</v>
      </c>
      <c r="BE227" s="77">
        <f>'DIVISION BUDGETS'!D29</f>
        <v>5000</v>
      </c>
      <c r="BF227" s="77">
        <f>$AM227*$BF$3*12*$H227</f>
        <v>0</v>
      </c>
      <c r="BG227" s="77">
        <f>VLOOKUP($AJ227,BENE!$I$2:$N$9,6,FALSE)*'Position Control'!$H227</f>
        <v>0</v>
      </c>
      <c r="BH227" s="77">
        <f>VLOOKUP($AK227,BENE!$A$2:$F$19,6,FALSE)*'Position Control'!$H227</f>
        <v>0</v>
      </c>
      <c r="BI227" s="77">
        <f>VLOOKUP($AK227,BENE!$A$2:$G$19,7,FALSE)*'Position Control'!$H227</f>
        <v>0</v>
      </c>
      <c r="BJ227" s="77">
        <f>VLOOKUP($AL227,BENE!$P$2:$S$6,4,FALSE)*'Position Control'!$H227</f>
        <v>0</v>
      </c>
      <c r="BK227" s="77">
        <f>IF($F227&gt;HRS!$H$2,ROUNDUP(((($AN227+$BE227)*$BK$3)/12*9)+(($AN227+$BE227)*HRS!$B$10/12*3),0),0)*$H227</f>
        <v>843</v>
      </c>
      <c r="BL227" s="80">
        <f>ROUNDUP($AN227*$AA227,0)*$H227</f>
        <v>0</v>
      </c>
      <c r="BM227" s="77">
        <f>ROUNDUP(IF($AN227&gt;9000,$BM$3*9000,$BM$3*$AN227),0)*$H227</f>
        <v>0</v>
      </c>
      <c r="BN227" s="77">
        <f>IF($AB227="Y",ROUNDUP($AN227*$BN$3,0),0)*$H227</f>
        <v>0</v>
      </c>
      <c r="BO227" s="77">
        <f>IF($A227&lt;&gt;"SP",ROUND($BO$3*$AN227,0)*$H227,0)</f>
        <v>0</v>
      </c>
      <c r="BP227" s="77">
        <f>IF($T227&gt;24,2000,IF($T227&gt;19,1750,IF($T227&gt;14,1500,IF($T227&gt;9.9999999999999,1000,0))))*$H227</f>
        <v>0</v>
      </c>
      <c r="BQ227" s="77">
        <v>0</v>
      </c>
      <c r="BR227" s="80">
        <f>SUM(AO227:AW227)+SUM(BC227:BQ227)</f>
        <v>5843</v>
      </c>
    </row>
    <row r="228" spans="1:70" s="171" customFormat="1" x14ac:dyDescent="0.35">
      <c r="A228" s="161"/>
      <c r="B228" s="161"/>
      <c r="C228" s="161"/>
      <c r="D228" s="161"/>
      <c r="E228" s="161"/>
      <c r="F228" s="162"/>
      <c r="G228" s="163">
        <f>SUBTOTAL(9,G223:G227)</f>
        <v>2.5</v>
      </c>
      <c r="H228" s="163"/>
      <c r="I228" s="161" t="s">
        <v>563</v>
      </c>
      <c r="J228" s="161"/>
      <c r="K228" s="161"/>
      <c r="L228" s="164"/>
      <c r="M228" s="161"/>
      <c r="N228" s="161"/>
      <c r="O228" s="161"/>
      <c r="P228" s="161"/>
      <c r="Q228" s="186"/>
      <c r="R228" s="200"/>
      <c r="S228" s="208"/>
      <c r="T228" s="163"/>
      <c r="U228" s="161"/>
      <c r="V228" s="165"/>
      <c r="W228" s="166"/>
      <c r="X228" s="165"/>
      <c r="Y228" s="166"/>
      <c r="Z228" s="161"/>
      <c r="AA228" s="167"/>
      <c r="AB228" s="164"/>
      <c r="AC228" s="168"/>
      <c r="AD228" s="168"/>
      <c r="AE228" s="168"/>
      <c r="AF228" s="168"/>
      <c r="AG228" s="168"/>
      <c r="AH228" s="168"/>
      <c r="AI228" s="168"/>
      <c r="AJ228" s="161"/>
      <c r="AK228" s="161"/>
      <c r="AL228" s="161"/>
      <c r="AM228" s="169"/>
      <c r="AN228" s="189">
        <f t="shared" ref="AN228:BR228" si="297">SUBTOTAL(9,AN223:AN227)</f>
        <v>158415</v>
      </c>
      <c r="AO228" s="170">
        <f t="shared" si="297"/>
        <v>154964.5</v>
      </c>
      <c r="AP228" s="170">
        <f t="shared" si="297"/>
        <v>0</v>
      </c>
      <c r="AQ228" s="170">
        <f t="shared" si="297"/>
        <v>2850.5</v>
      </c>
      <c r="AR228" s="170">
        <f t="shared" si="297"/>
        <v>0</v>
      </c>
      <c r="AS228" s="170">
        <f t="shared" si="297"/>
        <v>0</v>
      </c>
      <c r="AT228" s="170">
        <f t="shared" si="297"/>
        <v>0</v>
      </c>
      <c r="AU228" s="170">
        <f t="shared" si="297"/>
        <v>600</v>
      </c>
      <c r="AV228" s="170">
        <f t="shared" si="297"/>
        <v>0</v>
      </c>
      <c r="AW228" s="170">
        <f t="shared" si="297"/>
        <v>0</v>
      </c>
      <c r="AX228" s="170">
        <f t="shared" si="297"/>
        <v>0</v>
      </c>
      <c r="AY228" s="170">
        <f t="shared" si="297"/>
        <v>0</v>
      </c>
      <c r="AZ228" s="170">
        <f t="shared" si="297"/>
        <v>0</v>
      </c>
      <c r="BA228" s="170">
        <f t="shared" si="297"/>
        <v>0</v>
      </c>
      <c r="BB228" s="170">
        <f t="shared" si="297"/>
        <v>0</v>
      </c>
      <c r="BC228" s="170">
        <f t="shared" si="297"/>
        <v>0</v>
      </c>
      <c r="BD228" s="170">
        <f t="shared" si="297"/>
        <v>820</v>
      </c>
      <c r="BE228" s="170">
        <f t="shared" si="297"/>
        <v>5000</v>
      </c>
      <c r="BF228" s="170">
        <f t="shared" si="297"/>
        <v>371.4</v>
      </c>
      <c r="BG228" s="170">
        <f t="shared" si="297"/>
        <v>1304.5</v>
      </c>
      <c r="BH228" s="170">
        <f t="shared" si="297"/>
        <v>26128.5</v>
      </c>
      <c r="BI228" s="170">
        <f t="shared" si="297"/>
        <v>1250</v>
      </c>
      <c r="BJ228" s="170">
        <f t="shared" si="297"/>
        <v>432</v>
      </c>
      <c r="BK228" s="170">
        <f t="shared" si="297"/>
        <v>20323.5</v>
      </c>
      <c r="BL228" s="170">
        <f t="shared" si="297"/>
        <v>1032.5</v>
      </c>
      <c r="BM228" s="170">
        <f t="shared" si="297"/>
        <v>360</v>
      </c>
      <c r="BN228" s="170">
        <f t="shared" si="297"/>
        <v>1676.5</v>
      </c>
      <c r="BO228" s="170">
        <f t="shared" si="297"/>
        <v>208.5</v>
      </c>
      <c r="BP228" s="170">
        <f t="shared" si="297"/>
        <v>750</v>
      </c>
      <c r="BQ228" s="170">
        <f t="shared" si="297"/>
        <v>0</v>
      </c>
      <c r="BR228" s="170">
        <f t="shared" si="297"/>
        <v>218072.4</v>
      </c>
    </row>
    <row r="229" spans="1:70" outlineLevel="1" x14ac:dyDescent="0.35">
      <c r="A229" s="1" t="s">
        <v>6</v>
      </c>
      <c r="B229" s="1" t="s">
        <v>7</v>
      </c>
      <c r="C229" s="1" t="s">
        <v>226</v>
      </c>
      <c r="D229" s="1" t="s">
        <v>56</v>
      </c>
      <c r="E229" s="1" t="s">
        <v>47</v>
      </c>
      <c r="F229" s="2">
        <v>1</v>
      </c>
      <c r="G229" s="66">
        <v>1</v>
      </c>
      <c r="H229" s="66">
        <v>1</v>
      </c>
      <c r="I229" s="1" t="s">
        <v>611</v>
      </c>
      <c r="J229" s="1" t="s">
        <v>612</v>
      </c>
      <c r="K229" s="1" t="s">
        <v>230</v>
      </c>
      <c r="L229" s="76" t="str">
        <f>IF(M229="","N",STEP!$J$22)</f>
        <v>N</v>
      </c>
      <c r="M229" s="1" t="s">
        <v>11</v>
      </c>
      <c r="N229" s="1" t="s">
        <v>11</v>
      </c>
      <c r="O229" s="1" t="s">
        <v>11</v>
      </c>
      <c r="P229" s="1"/>
      <c r="Q229" s="185">
        <v>20200527</v>
      </c>
      <c r="R229" s="196">
        <v>43978</v>
      </c>
      <c r="S229" s="197">
        <f>IF(A229="FT",IF(R229&gt;$S$1,0,(DATEDIF(R229,$S$1,"M"))),0)</f>
        <v>28</v>
      </c>
      <c r="T229" s="66">
        <f>ROUNDDOWN(IF(A229="FT",DATEDIF(R229,$T$1,"y"),0),0)</f>
        <v>3</v>
      </c>
      <c r="U229" s="65" t="s">
        <v>11</v>
      </c>
      <c r="V229" s="70">
        <v>79.230800000000002</v>
      </c>
      <c r="W229" s="74" t="str">
        <f t="shared" ref="W229:W263" si="298">IF(U229="","",(1-Y229))</f>
        <v/>
      </c>
      <c r="X229" s="70" t="str" cm="1">
        <f t="array" ref="X229">IF(U229="","",INDEX(STEP!$C:$C,MATCH('Position Control'!M229&amp;'Position Control'!P229,STEP!$A:$A&amp;STEP!$B:$B,0)))</f>
        <v/>
      </c>
      <c r="Y229" s="74" t="str">
        <f>IF(L229="Y",(20221001-U229)/10000,"")</f>
        <v/>
      </c>
      <c r="Z229" s="1">
        <v>8810</v>
      </c>
      <c r="AA229" s="112">
        <f>VLOOKUP(Z229,'WRK COMP'!$A$1:$E$17,5,FALSE)</f>
        <v>1.0169999999999999E-3</v>
      </c>
      <c r="AB229" s="76" t="s">
        <v>13</v>
      </c>
      <c r="AC229" s="68">
        <v>0</v>
      </c>
      <c r="AD229" s="68">
        <v>0</v>
      </c>
      <c r="AE229" s="68">
        <v>0</v>
      </c>
      <c r="AF229" s="68">
        <v>0</v>
      </c>
      <c r="AG229" s="68">
        <v>0</v>
      </c>
      <c r="AH229" s="68">
        <v>12.5</v>
      </c>
      <c r="AI229" s="68">
        <v>0</v>
      </c>
      <c r="AJ229" s="1" t="s">
        <v>14</v>
      </c>
      <c r="AK229" s="1" t="s">
        <v>43</v>
      </c>
      <c r="AL229" s="10" t="s">
        <v>49</v>
      </c>
      <c r="AM229" s="78">
        <f>IF(F229&gt;0.79,IF(ROUNDUP(IF(B229="FS",(V229*HRS!$B$9),(V229*HRS!$L$2))*2,-3)&gt;150000,150000,(ROUNDUP(IF(B229="FS",(V229*HRS!$B$9),(V229*HRS!$L$2))*2,-3))),0)</f>
        <v>150000</v>
      </c>
      <c r="AN229" s="188">
        <f>SUM(AO229:BB229)</f>
        <v>165401</v>
      </c>
      <c r="AO229" s="77">
        <f>IF(L229="N",IF(B229="FS",ROUNDUP($V229*HRS!$B$9*'Position Control'!F229,0),ROUNDUP('Position Control'!$V229*HRS!$L$2*'Position Control'!F229,0)),IF('Position Control'!B229="FS",ROUNDUP(('Position Control'!V229*HRS!$B$9*'Position Control'!W229*'Position Control'!F229)+('Position Control'!X229*HRS!$B$9*'Position Control'!Y229*'Position Control'!F229),0),ROUNDUP(('Position Control'!V229*HRS!$L$2*'Position Control'!W229*'Position Control'!F229)+('Position Control'!X229*HRS!$L$2*'Position Control'!Y229*'Position Control'!F229),0)))*'Position Control'!H229</f>
        <v>164801</v>
      </c>
      <c r="AP229" s="77">
        <f>ROUNDUP(52*AC229,0)*H229</f>
        <v>0</v>
      </c>
      <c r="AQ229" s="77">
        <f>IF(B229="FS",ROUNDUP(24*AD229,0),IF(B229="POL",ROUNDUP(26*AD229,0),ROUNDUP(52*AD229,0)))*$H229</f>
        <v>0</v>
      </c>
      <c r="AR229" s="77">
        <f>IF(B229="FS",ROUNDUP(AG229*24,0),ROUNDUP(52*AG229,0))*H229</f>
        <v>0</v>
      </c>
      <c r="AS229" s="77">
        <v>0</v>
      </c>
      <c r="AT229" s="79">
        <f>ROUNDUP(26*AF229,0)*H229</f>
        <v>0</v>
      </c>
      <c r="AU229" s="77">
        <f>IF(B229="FS",ROUNDUP(24*AH229,0),IF(B229="POL",ROUNDUP(26*AH229,0),ROUNDUP(48*AH229,0)))*$H229</f>
        <v>600</v>
      </c>
      <c r="AV229" s="77">
        <v>0</v>
      </c>
      <c r="AW229" s="77">
        <f>IF(B229="FS",ROUNDUP(24*AE229,0),IF(B229="POL",ROUNDUP(26*AE229,0),ROUNDUP(52*AE229,0)))*$H229</f>
        <v>0</v>
      </c>
      <c r="AX229" s="77">
        <f>IF(AND(Q229&lt;20220401,A229&lt;&gt;"SP"),($AX$3*(AO229+BE229)),0)</f>
        <v>0</v>
      </c>
      <c r="AY229" s="77">
        <f>IF(AND($L229="N",$Q229&lt;20220401,$A229&lt;&gt;"SP",$AO229&lt;100000),($AY$3*($AO229+$BE229)),0)</f>
        <v>0</v>
      </c>
      <c r="AZ229" s="77">
        <f>IF(AND($L229="N",$Q229&lt;20220401,$A229&lt;&gt;"SP",$AO229&gt;100000),($AZ$3*($AO229+$BE229)),0)</f>
        <v>0</v>
      </c>
      <c r="BA229" s="77">
        <f>IF(AND($L229="N",$Q229&lt;20220401,$A229&lt;&gt;"SP"),($BA$3*($AO229+$BE229)),0)</f>
        <v>0</v>
      </c>
      <c r="BB229" s="77">
        <f>IF(AND($L229="Y",$Q229&lt;20220401,$A229&lt;&gt;"SP"),($BB$3*($AO229+$BE229)),0)</f>
        <v>0</v>
      </c>
      <c r="BC229" s="77">
        <f t="shared" si="296"/>
        <v>0</v>
      </c>
      <c r="BD229" s="77">
        <f>IF($S229&gt;=12,IF(($S229*5)&gt;1200,1200,$S229*5),0)*$H229</f>
        <v>140</v>
      </c>
      <c r="BE229" s="77">
        <v>0</v>
      </c>
      <c r="BF229" s="77">
        <f>$AM229*$BF$3*12*$H229</f>
        <v>180</v>
      </c>
      <c r="BG229" s="77">
        <f>VLOOKUP($AJ229,BENE!$I$2:$N$9,6,FALSE)*'Position Control'!$H229</f>
        <v>389</v>
      </c>
      <c r="BH229" s="77">
        <f>VLOOKUP($AK229,BENE!$A$2:$F$19,6,FALSE)*'Position Control'!$H229</f>
        <v>6870</v>
      </c>
      <c r="BI229" s="77">
        <f>VLOOKUP($AK229,BENE!$A$2:$G$19,7,FALSE)*'Position Control'!$H229</f>
        <v>0</v>
      </c>
      <c r="BJ229" s="77">
        <f>VLOOKUP($AL229,BENE!$P$2:$S$6,4,FALSE)*'Position Control'!$H229</f>
        <v>0</v>
      </c>
      <c r="BK229" s="77">
        <f>IF($F229&gt;HRS!$H$2,ROUNDUP(((($AN229+$BE229)*$BK$3)/12*9)+(($AN229+$BE229)*HRS!$B$10/12*3),0),0)*$H229</f>
        <v>27887</v>
      </c>
      <c r="BL229" s="80">
        <f>ROUNDUP($AN229*$AA229,0)*$H229</f>
        <v>169</v>
      </c>
      <c r="BM229" s="77">
        <f>ROUNDUP(IF($AN229&gt;9000,$BM$3*9000,$BM$3*$AN229),0)*$H229</f>
        <v>144</v>
      </c>
      <c r="BN229" s="77">
        <f>IF($AB229="Y",ROUNDUP($AN229*$BN$3,0),0)*$H229</f>
        <v>2399</v>
      </c>
      <c r="BO229" s="77">
        <f>IF($A229&lt;&gt;"SP",ROUND($BO$3*$AN229,0)*$H229,0)</f>
        <v>298</v>
      </c>
      <c r="BP229" s="77">
        <f>IF($T229&gt;24,2000,IF($T229&gt;19,1750,IF($T229&gt;14,1500,IF($T229&gt;9.9999999999999,1000,0))))*$H229</f>
        <v>0</v>
      </c>
      <c r="BQ229" s="77">
        <v>0</v>
      </c>
      <c r="BR229" s="80">
        <f>SUM(AO229:AW229)+SUM(BC229:BQ229)</f>
        <v>203877</v>
      </c>
    </row>
    <row r="230" spans="1:70" outlineLevel="1" x14ac:dyDescent="0.35">
      <c r="A230" s="1" t="s">
        <v>6</v>
      </c>
      <c r="B230" s="1" t="s">
        <v>7</v>
      </c>
      <c r="C230" s="1" t="s">
        <v>226</v>
      </c>
      <c r="D230" s="1" t="s">
        <v>56</v>
      </c>
      <c r="E230" s="1" t="s">
        <v>47</v>
      </c>
      <c r="F230" s="2">
        <v>1</v>
      </c>
      <c r="G230" s="66">
        <v>1</v>
      </c>
      <c r="H230" s="66">
        <v>1</v>
      </c>
      <c r="I230" s="1" t="s">
        <v>611</v>
      </c>
      <c r="J230" s="1" t="s">
        <v>612</v>
      </c>
      <c r="K230" s="1" t="s">
        <v>229</v>
      </c>
      <c r="L230" s="76" t="str">
        <f>IF(M230="","N",STEP!$J$22)</f>
        <v>N</v>
      </c>
      <c r="M230" s="1" t="s">
        <v>11</v>
      </c>
      <c r="N230" s="1" t="s">
        <v>11</v>
      </c>
      <c r="O230" s="1" t="s">
        <v>11</v>
      </c>
      <c r="P230" s="1"/>
      <c r="Q230" s="185">
        <v>20180702</v>
      </c>
      <c r="R230" s="196">
        <v>43283</v>
      </c>
      <c r="S230" s="197">
        <f>IF(A230="FT",IF(R230&gt;$S$1,0,(DATEDIF(R230,$S$1,"M"))),0)</f>
        <v>50</v>
      </c>
      <c r="T230" s="66">
        <f>ROUNDDOWN(IF(A230="FT",DATEDIF(R230,$T$1,"y"),0),0)</f>
        <v>5</v>
      </c>
      <c r="U230" s="65" t="s">
        <v>11</v>
      </c>
      <c r="V230" s="70">
        <v>52.985599999999998</v>
      </c>
      <c r="W230" s="74" t="str">
        <f t="shared" si="298"/>
        <v/>
      </c>
      <c r="X230" s="70" t="str" cm="1">
        <f t="array" ref="X230">IF(U230="","",INDEX(STEP!$C:$C,MATCH('Position Control'!M230&amp;'Position Control'!P230,STEP!$A:$A&amp;STEP!$B:$B,0)))</f>
        <v/>
      </c>
      <c r="Y230" s="74" t="str">
        <f>IF(L230="Y",(20221001-U230)/10000,"")</f>
        <v/>
      </c>
      <c r="Z230" s="1">
        <v>8810</v>
      </c>
      <c r="AA230" s="112">
        <f>VLOOKUP(Z230,'WRK COMP'!$A$1:$E$17,5,FALSE)</f>
        <v>1.0169999999999999E-3</v>
      </c>
      <c r="AB230" s="76" t="s">
        <v>13</v>
      </c>
      <c r="AC230" s="68">
        <v>0</v>
      </c>
      <c r="AD230" s="68">
        <v>28.849999999999998</v>
      </c>
      <c r="AE230" s="68">
        <v>0</v>
      </c>
      <c r="AF230" s="68">
        <v>0</v>
      </c>
      <c r="AG230" s="68">
        <v>0</v>
      </c>
      <c r="AH230" s="68">
        <v>12.5</v>
      </c>
      <c r="AI230" s="68">
        <v>0</v>
      </c>
      <c r="AJ230" s="1" t="s">
        <v>25</v>
      </c>
      <c r="AK230" s="1" t="s">
        <v>52</v>
      </c>
      <c r="AL230" s="1" t="s">
        <v>53</v>
      </c>
      <c r="AM230" s="78">
        <f>IF(F230&gt;0.79,IF(ROUNDUP(IF(B230="FS",(V230*HRS!$B$9),(V230*HRS!$L$2))*2,-3)&gt;150000,150000,(ROUNDUP(IF(B230="FS",(V230*HRS!$B$9),(V230*HRS!$L$2))*2,-3))),0)</f>
        <v>150000</v>
      </c>
      <c r="AN230" s="188">
        <f>SUM(AO230:BB230)</f>
        <v>112312</v>
      </c>
      <c r="AO230" s="77">
        <f>IF(L230="N",IF(B230="FS",ROUNDUP($V230*HRS!$B$9*'Position Control'!F230,0),ROUNDUP('Position Control'!$V230*HRS!$L$2*'Position Control'!F230,0)),IF('Position Control'!B230="FS",ROUNDUP(('Position Control'!V230*HRS!$B$9*'Position Control'!W230*'Position Control'!F230)+('Position Control'!X230*HRS!$B$9*'Position Control'!Y230*'Position Control'!F230),0),ROUNDUP(('Position Control'!V230*HRS!$L$2*'Position Control'!W230*'Position Control'!F230)+('Position Control'!X230*HRS!$L$2*'Position Control'!Y230*'Position Control'!F230),0)))*'Position Control'!H230</f>
        <v>110211</v>
      </c>
      <c r="AP230" s="77">
        <f>ROUNDUP(52*AC230,0)*H230</f>
        <v>0</v>
      </c>
      <c r="AQ230" s="77">
        <f>IF(B230="FS",ROUNDUP(24*AD230,0),IF(B230="POL",ROUNDUP(26*AD230,0),ROUNDUP(52*AD230,0)))*$H230</f>
        <v>1501</v>
      </c>
      <c r="AR230" s="77">
        <f>IF(B230="FS",ROUNDUP(AG230*24,0),ROUNDUP(52*AG230,0))*H230</f>
        <v>0</v>
      </c>
      <c r="AS230" s="77">
        <v>0</v>
      </c>
      <c r="AT230" s="79">
        <f>ROUNDUP(26*AF230,0)*H230</f>
        <v>0</v>
      </c>
      <c r="AU230" s="77">
        <f>IF(B230="FS",ROUNDUP(24*AH230,0),IF(B230="POL",ROUNDUP(26*AH230,0),ROUNDUP(48*AH230,0)))*$H230</f>
        <v>600</v>
      </c>
      <c r="AV230" s="77">
        <v>0</v>
      </c>
      <c r="AW230" s="77">
        <f>IF(B230="FS",ROUNDUP(24*AE230,0),IF(B230="POL",ROUNDUP(26*AE230,0),ROUNDUP(52*AE230,0)))*$H230</f>
        <v>0</v>
      </c>
      <c r="AX230" s="77">
        <f>IF(AND(Q230&lt;20220401,A230&lt;&gt;"SP"),($AX$3*(AO230+BE230)),0)</f>
        <v>0</v>
      </c>
      <c r="AY230" s="77">
        <f>IF(AND($L230="N",$Q230&lt;20220401,$A230&lt;&gt;"SP",$AO230&lt;100000),($AY$3*($AO230+$BE230)),0)</f>
        <v>0</v>
      </c>
      <c r="AZ230" s="77">
        <f>IF(AND($L230="N",$Q230&lt;20220401,$A230&lt;&gt;"SP",$AO230&gt;100000),($AZ$3*($AO230+$BE230)),0)</f>
        <v>0</v>
      </c>
      <c r="BA230" s="77">
        <f>IF(AND($L230="N",$Q230&lt;20220401,$A230&lt;&gt;"SP"),($BA$3*($AO230+$BE230)),0)</f>
        <v>0</v>
      </c>
      <c r="BB230" s="77">
        <f>IF(AND($L230="Y",$Q230&lt;20220401,$A230&lt;&gt;"SP"),($BB$3*($AO230+$BE230)),0)</f>
        <v>0</v>
      </c>
      <c r="BC230" s="77">
        <f t="shared" si="296"/>
        <v>0</v>
      </c>
      <c r="BD230" s="77">
        <f>IF($S230&gt;=12,IF(($S230*5)&gt;1200,1200,$S230*5),0)*$H230</f>
        <v>250</v>
      </c>
      <c r="BE230" s="77">
        <v>0</v>
      </c>
      <c r="BF230" s="77">
        <f>$AM230*$BF$3*12*$H230</f>
        <v>180</v>
      </c>
      <c r="BG230" s="77">
        <f>VLOOKUP($AJ230,BENE!$I$2:$N$9,6,FALSE)*'Position Control'!$H230</f>
        <v>414</v>
      </c>
      <c r="BH230" s="77">
        <f>VLOOKUP($AK230,BENE!$A$2:$F$19,6,FALSE)*'Position Control'!$H230</f>
        <v>10714</v>
      </c>
      <c r="BI230" s="77">
        <f>VLOOKUP($AK230,BENE!$A$2:$G$19,7,FALSE)*'Position Control'!$H230</f>
        <v>1500</v>
      </c>
      <c r="BJ230" s="77">
        <f>VLOOKUP($AL230,BENE!$P$2:$S$6,4,FALSE)*'Position Control'!$H230</f>
        <v>372</v>
      </c>
      <c r="BK230" s="77">
        <f>IF($F230&gt;HRS!$H$2,ROUNDUP(((($AN230+$BE230)*$BK$3)/12*9)+(($AN230+$BE230)*HRS!$B$10/12*3),0),0)*$H230</f>
        <v>18936</v>
      </c>
      <c r="BL230" s="80">
        <f>ROUNDUP($AN230*$AA230,0)*$H230</f>
        <v>115</v>
      </c>
      <c r="BM230" s="77">
        <f>ROUNDUP(IF($AN230&gt;9000,$BM$3*9000,$BM$3*$AN230),0)*$H230</f>
        <v>144</v>
      </c>
      <c r="BN230" s="77">
        <f>IF($AB230="Y",ROUNDUP($AN230*$BN$3,0),0)*$H230</f>
        <v>1629</v>
      </c>
      <c r="BO230" s="77">
        <f>IF($A230&lt;&gt;"SP",ROUND($BO$3*$AN230,0)*$H230,0)</f>
        <v>202</v>
      </c>
      <c r="BP230" s="77">
        <f>IF($T230&gt;24,2000,IF($T230&gt;19,1750,IF($T230&gt;14,1500,IF($T230&gt;9.9999999999999,1000,0))))*$H230</f>
        <v>0</v>
      </c>
      <c r="BQ230" s="77">
        <v>0</v>
      </c>
      <c r="BR230" s="80">
        <f>SUM(AO230:AW230)+SUM(BC230:BQ230)</f>
        <v>146768</v>
      </c>
    </row>
    <row r="231" spans="1:70" outlineLevel="1" x14ac:dyDescent="0.35">
      <c r="A231" s="1" t="s">
        <v>6</v>
      </c>
      <c r="B231" s="1" t="s">
        <v>7</v>
      </c>
      <c r="C231" s="1" t="s">
        <v>226</v>
      </c>
      <c r="D231" s="1" t="s">
        <v>56</v>
      </c>
      <c r="E231" s="1" t="s">
        <v>47</v>
      </c>
      <c r="F231" s="2">
        <v>1</v>
      </c>
      <c r="G231" s="66">
        <v>1</v>
      </c>
      <c r="H231" s="66">
        <v>1</v>
      </c>
      <c r="I231" s="1" t="s">
        <v>611</v>
      </c>
      <c r="J231" s="1" t="s">
        <v>612</v>
      </c>
      <c r="K231" s="1" t="s">
        <v>227</v>
      </c>
      <c r="L231" s="76" t="str">
        <f>IF(M231="","N",STEP!$J$22)</f>
        <v>N</v>
      </c>
      <c r="M231" s="1" t="s">
        <v>11</v>
      </c>
      <c r="N231" s="1" t="s">
        <v>11</v>
      </c>
      <c r="O231" s="1" t="s">
        <v>11</v>
      </c>
      <c r="P231" s="1"/>
      <c r="Q231" s="185">
        <v>20190923</v>
      </c>
      <c r="R231" s="196">
        <v>43731</v>
      </c>
      <c r="S231" s="197">
        <f>IF(A231="FT",IF(R231&gt;$S$1,0,(DATEDIF(R231,$S$1,"M"))),0)</f>
        <v>36</v>
      </c>
      <c r="T231" s="66">
        <f>ROUNDDOWN(IF(A231="FT",DATEDIF(R231,$T$1,"y"),0),0)</f>
        <v>4</v>
      </c>
      <c r="U231" s="65" t="s">
        <v>11</v>
      </c>
      <c r="V231" s="70">
        <v>31.0593</v>
      </c>
      <c r="W231" s="74" t="str">
        <f t="shared" si="298"/>
        <v/>
      </c>
      <c r="X231" s="70" t="str" cm="1">
        <f t="array" ref="X231">IF(U231="","",INDEX(STEP!$C:$C,MATCH('Position Control'!M231&amp;'Position Control'!P231,STEP!$A:$A&amp;STEP!$B:$B,0)))</f>
        <v/>
      </c>
      <c r="Y231" s="74" t="str">
        <f>IF(L231="Y",(20221001-U231)/10000,"")</f>
        <v/>
      </c>
      <c r="Z231" s="1">
        <v>8810</v>
      </c>
      <c r="AA231" s="112">
        <f>VLOOKUP(Z231,'WRK COMP'!$A$1:$E$17,5,FALSE)</f>
        <v>1.0169999999999999E-3</v>
      </c>
      <c r="AB231" s="76" t="s">
        <v>13</v>
      </c>
      <c r="AC231" s="68">
        <v>0</v>
      </c>
      <c r="AD231" s="68">
        <v>0</v>
      </c>
      <c r="AE231" s="68">
        <v>0</v>
      </c>
      <c r="AF231" s="68">
        <v>0</v>
      </c>
      <c r="AG231" s="68">
        <v>0</v>
      </c>
      <c r="AH231" s="68">
        <v>12.5</v>
      </c>
      <c r="AI231" s="68">
        <v>0</v>
      </c>
      <c r="AJ231" s="1" t="s">
        <v>18</v>
      </c>
      <c r="AK231" s="1" t="s">
        <v>78</v>
      </c>
      <c r="AL231" s="10" t="s">
        <v>49</v>
      </c>
      <c r="AM231" s="78">
        <f>IF(F231&gt;0.79,IF(ROUNDUP(IF(B231="FS",(V231*HRS!$B$9),(V231*HRS!$L$2))*2,-3)&gt;150000,150000,(ROUNDUP(IF(B231="FS",(V231*HRS!$B$9),(V231*HRS!$L$2))*2,-3))),0)</f>
        <v>130000</v>
      </c>
      <c r="AN231" s="188">
        <f>SUM(AO231:BB231)</f>
        <v>65204</v>
      </c>
      <c r="AO231" s="77">
        <f>IF(L231="N",IF(B231="FS",ROUNDUP($V231*HRS!$B$9*'Position Control'!F231,0),ROUNDUP('Position Control'!$V231*HRS!$L$2*'Position Control'!F231,0)),IF('Position Control'!B231="FS",ROUNDUP(('Position Control'!V231*HRS!$B$9*'Position Control'!W231*'Position Control'!F231)+('Position Control'!X231*HRS!$B$9*'Position Control'!Y231*'Position Control'!F231),0),ROUNDUP(('Position Control'!V231*HRS!$L$2*'Position Control'!W231*'Position Control'!F231)+('Position Control'!X231*HRS!$L$2*'Position Control'!Y231*'Position Control'!F231),0)))*'Position Control'!H231</f>
        <v>64604</v>
      </c>
      <c r="AP231" s="77">
        <f>ROUNDUP(52*AC231,0)*H231</f>
        <v>0</v>
      </c>
      <c r="AQ231" s="77">
        <f>IF(B231="FS",ROUNDUP(24*AD231,0),IF(B231="POL",ROUNDUP(26*AD231,0),ROUNDUP(52*AD231,0)))*$H231</f>
        <v>0</v>
      </c>
      <c r="AR231" s="77">
        <f>IF(B231="FS",ROUNDUP(AG231*24,0),ROUNDUP(52*AG231,0))*H231</f>
        <v>0</v>
      </c>
      <c r="AS231" s="77">
        <v>0</v>
      </c>
      <c r="AT231" s="79">
        <f>ROUNDUP(26*AF231,0)*H231</f>
        <v>0</v>
      </c>
      <c r="AU231" s="77">
        <f>IF(B231="FS",ROUNDUP(24*AH231,0),IF(B231="POL",ROUNDUP(26*AH231,0),ROUNDUP(48*AH231,0)))*$H231</f>
        <v>600</v>
      </c>
      <c r="AV231" s="77">
        <v>0</v>
      </c>
      <c r="AW231" s="77">
        <f>IF(B231="FS",ROUNDUP(24*AE231,0),IF(B231="POL",ROUNDUP(26*AE231,0),ROUNDUP(52*AE231,0)))*$H231</f>
        <v>0</v>
      </c>
      <c r="AX231" s="77">
        <f>IF(AND(Q231&lt;20220401,A231&lt;&gt;"SP"),($AX$3*(AO231+BE231)),0)</f>
        <v>0</v>
      </c>
      <c r="AY231" s="77">
        <f>IF(AND($L231="N",$Q231&lt;20220401,$A231&lt;&gt;"SP",$AO231&lt;100000),($AY$3*($AO231+$BE231)),0)</f>
        <v>0</v>
      </c>
      <c r="AZ231" s="77">
        <f>IF(AND($L231="N",$Q231&lt;20220401,$A231&lt;&gt;"SP",$AO231&gt;100000),($AZ$3*($AO231+$BE231)),0)</f>
        <v>0</v>
      </c>
      <c r="BA231" s="77">
        <f>IF(AND($L231="N",$Q231&lt;20220401,$A231&lt;&gt;"SP"),($BA$3*($AO231+$BE231)),0)</f>
        <v>0</v>
      </c>
      <c r="BB231" s="77">
        <f>IF(AND($L231="Y",$Q231&lt;20220401,$A231&lt;&gt;"SP"),($BB$3*($AO231+$BE231)),0)</f>
        <v>0</v>
      </c>
      <c r="BC231" s="77">
        <f t="shared" si="296"/>
        <v>0</v>
      </c>
      <c r="BD231" s="77">
        <f>IF($S231&gt;=12,IF(($S231*5)&gt;1200,1200,$S231*5),0)*$H231</f>
        <v>180</v>
      </c>
      <c r="BE231" s="77">
        <v>0</v>
      </c>
      <c r="BF231" s="77">
        <f>$AM231*$BF$3*12*$H231</f>
        <v>156</v>
      </c>
      <c r="BG231" s="77">
        <f>VLOOKUP($AJ231,BENE!$I$2:$N$9,6,FALSE)*'Position Control'!$H231</f>
        <v>760</v>
      </c>
      <c r="BH231" s="77">
        <f>VLOOKUP($AK231,BENE!$A$2:$F$19,6,FALSE)*'Position Control'!$H231</f>
        <v>18024</v>
      </c>
      <c r="BI231" s="77">
        <f>VLOOKUP($AK231,BENE!$A$2:$G$19,7,FALSE)*'Position Control'!$H231</f>
        <v>0</v>
      </c>
      <c r="BJ231" s="77">
        <f>VLOOKUP($AL231,BENE!$P$2:$S$6,4,FALSE)*'Position Control'!$H231</f>
        <v>0</v>
      </c>
      <c r="BK231" s="77">
        <f>IF($F231&gt;HRS!$H$2,ROUNDUP(((($AN231+$BE231)*$BK$3)/12*9)+(($AN231+$BE231)*HRS!$B$10/12*3),0),0)*$H231</f>
        <v>10994</v>
      </c>
      <c r="BL231" s="80">
        <f>ROUNDUP($AN231*$AA231,0)*$H231</f>
        <v>67</v>
      </c>
      <c r="BM231" s="77">
        <f>ROUNDUP(IF($AN231&gt;9000,$BM$3*9000,$BM$3*$AN231),0)*$H231</f>
        <v>144</v>
      </c>
      <c r="BN231" s="77">
        <f>IF($AB231="Y",ROUNDUP($AN231*$BN$3,0),0)*$H231</f>
        <v>946</v>
      </c>
      <c r="BO231" s="77">
        <f>IF($A231&lt;&gt;"SP",ROUND($BO$3*$AN231,0)*$H231,0)</f>
        <v>117</v>
      </c>
      <c r="BP231" s="77">
        <f>IF($T231&gt;24,2000,IF($T231&gt;19,1750,IF($T231&gt;14,1500,IF($T231&gt;9.9999999999999,1000,0))))*$H231</f>
        <v>0</v>
      </c>
      <c r="BQ231" s="77">
        <v>0</v>
      </c>
      <c r="BR231" s="80">
        <f>SUM(AO231:AW231)+SUM(BC231:BQ231)</f>
        <v>96592</v>
      </c>
    </row>
    <row r="232" spans="1:70" outlineLevel="1" x14ac:dyDescent="0.35">
      <c r="A232" s="1" t="s">
        <v>6</v>
      </c>
      <c r="B232" s="1" t="s">
        <v>7</v>
      </c>
      <c r="C232" s="1" t="s">
        <v>226</v>
      </c>
      <c r="D232" s="1" t="s">
        <v>56</v>
      </c>
      <c r="E232" s="1" t="s">
        <v>47</v>
      </c>
      <c r="F232" s="2">
        <v>1</v>
      </c>
      <c r="G232" s="66">
        <v>1</v>
      </c>
      <c r="H232" s="66">
        <v>1</v>
      </c>
      <c r="I232" s="1" t="s">
        <v>611</v>
      </c>
      <c r="J232" s="1" t="s">
        <v>612</v>
      </c>
      <c r="K232" s="1" t="s">
        <v>228</v>
      </c>
      <c r="L232" s="76" t="str">
        <f>IF(M232="","N",STEP!$J$22)</f>
        <v>N</v>
      </c>
      <c r="M232" s="1" t="s">
        <v>11</v>
      </c>
      <c r="N232" s="1" t="s">
        <v>11</v>
      </c>
      <c r="O232" s="1" t="s">
        <v>11</v>
      </c>
      <c r="P232" s="1"/>
      <c r="Q232" s="185">
        <v>20151102</v>
      </c>
      <c r="R232" s="196">
        <v>42310</v>
      </c>
      <c r="S232" s="197">
        <f>IF(A232="FT",IF(R232&gt;$S$1,0,(DATEDIF(R232,$S$1,"M"))),0)</f>
        <v>82</v>
      </c>
      <c r="T232" s="66">
        <f>ROUNDDOWN(IF(A232="FT",DATEDIF(R232,$T$1,"y"),0),0)</f>
        <v>7</v>
      </c>
      <c r="U232" s="65" t="s">
        <v>11</v>
      </c>
      <c r="V232" s="70">
        <v>23.252199999999998</v>
      </c>
      <c r="W232" s="74" t="str">
        <f t="shared" si="298"/>
        <v/>
      </c>
      <c r="X232" s="70" t="str" cm="1">
        <f t="array" ref="X232">IF(U232="","",INDEX(STEP!$C:$C,MATCH('Position Control'!M232&amp;'Position Control'!P232,STEP!$A:$A&amp;STEP!$B:$B,0)))</f>
        <v/>
      </c>
      <c r="Y232" s="74" t="str">
        <f>IF(L232="Y",(20221001-U232)/10000,"")</f>
        <v/>
      </c>
      <c r="Z232" s="1">
        <v>8810</v>
      </c>
      <c r="AA232" s="112">
        <f>VLOOKUP(Z232,'WRK COMP'!$A$1:$E$17,5,FALSE)</f>
        <v>1.0169999999999999E-3</v>
      </c>
      <c r="AB232" s="76" t="s">
        <v>13</v>
      </c>
      <c r="AC232" s="68">
        <v>0</v>
      </c>
      <c r="AD232" s="68">
        <v>0</v>
      </c>
      <c r="AE232" s="68">
        <v>0</v>
      </c>
      <c r="AF232" s="68">
        <v>0</v>
      </c>
      <c r="AG232" s="68">
        <v>0</v>
      </c>
      <c r="AH232" s="68">
        <v>0</v>
      </c>
      <c r="AI232" s="68">
        <v>0</v>
      </c>
      <c r="AJ232" s="1" t="s">
        <v>41</v>
      </c>
      <c r="AK232" s="1" t="s">
        <v>57</v>
      </c>
      <c r="AL232" s="1" t="s">
        <v>53</v>
      </c>
      <c r="AM232" s="78">
        <f>IF(F232&gt;0.79,IF(ROUNDUP(IF(B232="FS",(V232*HRS!$B$9),(V232*HRS!$L$2))*2,-3)&gt;150000,150000,(ROUNDUP(IF(B232="FS",(V232*HRS!$B$9),(V232*HRS!$L$2))*2,-3))),0)</f>
        <v>97000</v>
      </c>
      <c r="AN232" s="188">
        <f>SUM(AO232:BB232)</f>
        <v>48365</v>
      </c>
      <c r="AO232" s="77">
        <f>IF(L232="N",IF(B232="FS",ROUNDUP($V232*HRS!$B$9*'Position Control'!F232,0),ROUNDUP('Position Control'!$V232*HRS!$L$2*'Position Control'!F232,0)),IF('Position Control'!B232="FS",ROUNDUP(('Position Control'!V232*HRS!$B$9*'Position Control'!W232*'Position Control'!F232)+('Position Control'!X232*HRS!$B$9*'Position Control'!Y232*'Position Control'!F232),0),ROUNDUP(('Position Control'!V232*HRS!$L$2*'Position Control'!W232*'Position Control'!F232)+('Position Control'!X232*HRS!$L$2*'Position Control'!Y232*'Position Control'!F232),0)))*'Position Control'!H232</f>
        <v>48365</v>
      </c>
      <c r="AP232" s="77">
        <f>ROUNDUP(52*AC232,0)*H232</f>
        <v>0</v>
      </c>
      <c r="AQ232" s="77">
        <f>IF(B232="FS",ROUNDUP(24*AD232,0),IF(B232="POL",ROUNDUP(26*AD232,0),ROUNDUP(52*AD232,0)))*$H232</f>
        <v>0</v>
      </c>
      <c r="AR232" s="77">
        <f>IF(B232="FS",ROUNDUP(AG232*24,0),ROUNDUP(52*AG232,0))*H232</f>
        <v>0</v>
      </c>
      <c r="AS232" s="77">
        <v>0</v>
      </c>
      <c r="AT232" s="79">
        <f>ROUNDUP(26*AF232,0)*H232</f>
        <v>0</v>
      </c>
      <c r="AU232" s="77">
        <f>IF(B232="FS",ROUNDUP(24*AH232,0),IF(B232="POL",ROUNDUP(26*AH232,0),ROUNDUP(48*AH232,0)))*$H232</f>
        <v>0</v>
      </c>
      <c r="AV232" s="77">
        <v>0</v>
      </c>
      <c r="AW232" s="77">
        <f>IF(B232="FS",ROUNDUP(24*AE232,0),IF(B232="POL",ROUNDUP(26*AE232,0),ROUNDUP(52*AE232,0)))*$H232</f>
        <v>0</v>
      </c>
      <c r="AX232" s="77">
        <f>IF(AND(Q232&lt;20220401,A232&lt;&gt;"SP"),($AX$3*(AO232+BE232)),0)</f>
        <v>0</v>
      </c>
      <c r="AY232" s="77">
        <f>IF(AND($L232="N",$Q232&lt;20220401,$A232&lt;&gt;"SP",$AO232&lt;100000),($AY$3*($AO232+$BE232)),0)</f>
        <v>0</v>
      </c>
      <c r="AZ232" s="77">
        <f>IF(AND($L232="N",$Q232&lt;20220401,$A232&lt;&gt;"SP",$AO232&gt;100000),($AZ$3*($AO232+$BE232)),0)</f>
        <v>0</v>
      </c>
      <c r="BA232" s="77">
        <f>IF(AND($L232="N",$Q232&lt;20220401,$A232&lt;&gt;"SP"),($BA$3*($AO232+$BE232)),0)</f>
        <v>0</v>
      </c>
      <c r="BB232" s="77">
        <f>IF(AND($L232="Y",$Q232&lt;20220401,$A232&lt;&gt;"SP"),($BB$3*($AO232+$BE232)),0)</f>
        <v>0</v>
      </c>
      <c r="BC232" s="77">
        <f t="shared" si="296"/>
        <v>0</v>
      </c>
      <c r="BD232" s="77">
        <f>IF($S232&gt;=12,IF(($S232*5)&gt;1200,1200,$S232*5),0)*$H232</f>
        <v>410</v>
      </c>
      <c r="BE232" s="77">
        <v>0</v>
      </c>
      <c r="BF232" s="77">
        <f>$AM232*$BF$3*12*$H232</f>
        <v>116.4</v>
      </c>
      <c r="BG232" s="77">
        <f>VLOOKUP($AJ232,BENE!$I$2:$N$9,6,FALSE)*'Position Control'!$H232</f>
        <v>214</v>
      </c>
      <c r="BH232" s="77">
        <f>VLOOKUP($AK232,BENE!$A$2:$F$19,6,FALSE)*'Position Control'!$H232</f>
        <v>9890</v>
      </c>
      <c r="BI232" s="77">
        <f>VLOOKUP($AK232,BENE!$A$2:$G$19,7,FALSE)*'Position Control'!$H232</f>
        <v>1500</v>
      </c>
      <c r="BJ232" s="77">
        <f>VLOOKUP($AL232,BENE!$P$2:$S$6,4,FALSE)*'Position Control'!$H232</f>
        <v>372</v>
      </c>
      <c r="BK232" s="77">
        <f>IF($F232&gt;HRS!$H$2,ROUNDUP(((($AN232+$BE232)*$BK$3)/12*9)+(($AN232+$BE232)*HRS!$B$10/12*3),0),0)*$H232</f>
        <v>8155</v>
      </c>
      <c r="BL232" s="80">
        <f>ROUNDUP($AN232*$AA232,0)*$H232</f>
        <v>50</v>
      </c>
      <c r="BM232" s="77">
        <f>ROUNDUP(IF($AN232&gt;9000,$BM$3*9000,$BM$3*$AN232),0)*$H232</f>
        <v>144</v>
      </c>
      <c r="BN232" s="77">
        <f>IF($AB232="Y",ROUNDUP($AN232*$BN$3,0),0)*$H232</f>
        <v>702</v>
      </c>
      <c r="BO232" s="77">
        <f>IF($A232&lt;&gt;"SP",ROUND($BO$3*$AN232,0)*$H232,0)</f>
        <v>87</v>
      </c>
      <c r="BP232" s="77">
        <f>IF($T232&gt;24,2000,IF($T232&gt;19,1750,IF($T232&gt;14,1500,IF($T232&gt;9.9999999999999,1000,0))))*$H232</f>
        <v>0</v>
      </c>
      <c r="BQ232" s="77">
        <v>0</v>
      </c>
      <c r="BR232" s="80">
        <f>SUM(AO232:AW232)+SUM(BC232:BQ232)</f>
        <v>70005.399999999994</v>
      </c>
    </row>
    <row r="233" spans="1:70" outlineLevel="1" x14ac:dyDescent="0.35">
      <c r="A233" s="1" t="s">
        <v>6</v>
      </c>
      <c r="B233" s="1" t="s">
        <v>7</v>
      </c>
      <c r="C233" s="1" t="s">
        <v>226</v>
      </c>
      <c r="D233" s="1" t="s">
        <v>56</v>
      </c>
      <c r="E233" s="1" t="s">
        <v>47</v>
      </c>
      <c r="F233" s="2">
        <v>1</v>
      </c>
      <c r="G233" s="66">
        <v>0</v>
      </c>
      <c r="H233" s="66">
        <v>1</v>
      </c>
      <c r="I233" s="10" t="s">
        <v>409</v>
      </c>
      <c r="J233" s="10" t="s">
        <v>410</v>
      </c>
      <c r="K233" s="1"/>
      <c r="L233" s="76" t="str">
        <f>IF(M233="","N",STEP!$J$22)</f>
        <v>N</v>
      </c>
      <c r="M233" s="1"/>
      <c r="N233" s="1"/>
      <c r="O233" s="1"/>
      <c r="P233" s="1"/>
      <c r="Q233" s="185">
        <v>20221002</v>
      </c>
      <c r="R233" s="196">
        <v>44836</v>
      </c>
      <c r="S233" s="197">
        <f>IF(A233="FT",IF(R233&gt;$S$1,0,(DATEDIF(R233,$S$1,"M"))),0)</f>
        <v>0</v>
      </c>
      <c r="T233" s="66">
        <f>ROUNDDOWN(IF(A233="FT",DATEDIF(R233,$T$1,"y"),0),0)</f>
        <v>0</v>
      </c>
      <c r="U233" s="1"/>
      <c r="V233" s="70">
        <v>0</v>
      </c>
      <c r="W233" s="74"/>
      <c r="X233" s="70"/>
      <c r="Y233" s="74"/>
      <c r="Z233" s="1">
        <v>8810</v>
      </c>
      <c r="AA233" s="112">
        <f>VLOOKUP(Z233,'WRK COMP'!$A$1:$E$17,5,FALSE)</f>
        <v>1.0169999999999999E-3</v>
      </c>
      <c r="AB233" s="76" t="s">
        <v>13</v>
      </c>
      <c r="AC233" s="68">
        <v>0</v>
      </c>
      <c r="AD233" s="68">
        <v>0</v>
      </c>
      <c r="AE233" s="68">
        <v>0</v>
      </c>
      <c r="AF233" s="68">
        <v>0</v>
      </c>
      <c r="AG233" s="68">
        <v>0</v>
      </c>
      <c r="AH233" s="68">
        <v>0</v>
      </c>
      <c r="AI233" s="68">
        <v>0</v>
      </c>
      <c r="AJ233" s="10" t="s">
        <v>49</v>
      </c>
      <c r="AK233" s="10" t="s">
        <v>49</v>
      </c>
      <c r="AL233" s="10" t="s">
        <v>49</v>
      </c>
      <c r="AM233" s="78">
        <f>IF(F233&gt;0.79,IF(ROUNDUP(IF(B233="FS",(V233*HRS!$B$9),(V233*HRS!$L$2))*2,-3)&gt;150000,150000,(ROUNDUP(IF(B233="FS",(V233*HRS!$B$9),(V233*HRS!$L$2))*2,-3))),0)</f>
        <v>0</v>
      </c>
      <c r="AN233" s="188">
        <f>SUM(AO233:BB233)</f>
        <v>0</v>
      </c>
      <c r="AO233" s="77">
        <f>IF(L233="N",IF(B233="FS",ROUNDUP($V233*HRS!$B$9*'Position Control'!F233,0),ROUNDUP('Position Control'!$V233*HRS!$L$2*'Position Control'!F233,0)),IF('Position Control'!B233="FS",ROUNDUP(('Position Control'!V233*HRS!$B$9*'Position Control'!W233*'Position Control'!F233)+('Position Control'!X233*HRS!$B$9*'Position Control'!Y233*'Position Control'!F233),0),ROUNDUP(('Position Control'!V233*HRS!$L$2*'Position Control'!W233*'Position Control'!F233)+('Position Control'!X233*HRS!$L$2*'Position Control'!Y233*'Position Control'!F233),0)))*'Position Control'!H233</f>
        <v>0</v>
      </c>
      <c r="AP233" s="77">
        <f>ROUNDUP(52*AC233,0)*H233</f>
        <v>0</v>
      </c>
      <c r="AQ233" s="77">
        <f>IF(B233="FS",ROUNDUP(24*AD233,0),IF(B233="POL",ROUNDUP(26*AD233,0),ROUNDUP(52*AD233,0)))*$H233</f>
        <v>0</v>
      </c>
      <c r="AR233" s="77">
        <f>IF(B233="FS",ROUNDUP(AG233*24,0),ROUNDUP(52*AG233,0))*H233</f>
        <v>0</v>
      </c>
      <c r="AS233" s="77">
        <v>0</v>
      </c>
      <c r="AT233" s="79">
        <f>ROUNDUP(26*AF233,0)*H233</f>
        <v>0</v>
      </c>
      <c r="AU233" s="77">
        <f>IF(B233="FS",ROUNDUP(24*AH233,0),IF(B233="POL",ROUNDUP(26*AH233,0),ROUNDUP(48*AH233,0)))*$H233</f>
        <v>0</v>
      </c>
      <c r="AV233" s="77">
        <v>0</v>
      </c>
      <c r="AW233" s="77">
        <f>IF(B233="FS",ROUNDUP(24*AE233,0),IF(B233="POL",ROUNDUP(26*AE233,0),ROUNDUP(52*AE233,0)))*$H233</f>
        <v>0</v>
      </c>
      <c r="AX233" s="77">
        <f>IF(AND(Q233&lt;20220401,A233&lt;&gt;"SP"),($AX$3*(AO233+BE233)),0)</f>
        <v>0</v>
      </c>
      <c r="AY233" s="77">
        <f>IF(AND($L233="N",$Q233&lt;20220401,$A233&lt;&gt;"SP",$AO233&lt;100000),($AY$3*($AO233+$BE233)),0)</f>
        <v>0</v>
      </c>
      <c r="AZ233" s="77">
        <f>IF(AND($L233="N",$Q233&lt;20220401,$A233&lt;&gt;"SP",$AO233&gt;100000),($AZ$3*($AO233+$BE233)),0)</f>
        <v>0</v>
      </c>
      <c r="BA233" s="77">
        <f>IF(AND($L233="N",$Q233&lt;20220401,$A233&lt;&gt;"SP"),($BA$3*($AO233+$BE233)),0)</f>
        <v>0</v>
      </c>
      <c r="BB233" s="77">
        <f>IF(AND($L233="Y",$Q233&lt;20220401,$A233&lt;&gt;"SP"),($BB$3*($AO233+$BE233)),0)</f>
        <v>0</v>
      </c>
      <c r="BC233" s="77">
        <f t="shared" si="296"/>
        <v>0</v>
      </c>
      <c r="BD233" s="77">
        <f>IF($S233&gt;=12,IF(($S233*5)&gt;1200,1200,$S233*5),0)*$H233</f>
        <v>0</v>
      </c>
      <c r="BE233" s="77">
        <v>0</v>
      </c>
      <c r="BF233" s="77">
        <f>$AM233*$BF$3*12*$H233</f>
        <v>0</v>
      </c>
      <c r="BG233" s="77">
        <f>VLOOKUP($AJ233,BENE!$I$2:$N$9,6,FALSE)*'Position Control'!$H233</f>
        <v>0</v>
      </c>
      <c r="BH233" s="77">
        <f>VLOOKUP($AK233,BENE!$A$2:$F$19,6,FALSE)*'Position Control'!$H233</f>
        <v>0</v>
      </c>
      <c r="BI233" s="77">
        <f>VLOOKUP($AK233,BENE!$A$2:$G$19,7,FALSE)*'Position Control'!$H233</f>
        <v>0</v>
      </c>
      <c r="BJ233" s="77">
        <f>VLOOKUP($AL233,BENE!$P$2:$S$6,4,FALSE)*'Position Control'!$H233</f>
        <v>0</v>
      </c>
      <c r="BK233" s="77">
        <f>IF($F233&gt;HRS!$H$2,ROUNDUP(((($AN233+$BE233)*$BK$3)/12*9)+(($AN233+$BE233)*HRS!$B$10/12*3),0),0)*$H233</f>
        <v>0</v>
      </c>
      <c r="BL233" s="80">
        <f>ROUNDUP($AN233*$AA233,0)*$H233</f>
        <v>0</v>
      </c>
      <c r="BM233" s="77">
        <f>ROUNDUP(IF($AN233&gt;9000,$BM$3*9000,$BM$3*$AN233),0)*$H233</f>
        <v>0</v>
      </c>
      <c r="BN233" s="77">
        <f>IF($AB233="Y",ROUNDUP($AN233*$BN$3,0),0)*$H233</f>
        <v>0</v>
      </c>
      <c r="BO233" s="77">
        <f>IF($A233&lt;&gt;"SP",ROUND($BO$3*$AN233,0)*$H233,0)</f>
        <v>0</v>
      </c>
      <c r="BP233" s="77">
        <f>IF($T233&gt;24,2000,IF($T233&gt;19,1750,IF($T233&gt;14,1500,IF($T233&gt;9.9999999999999,1000,0))))*$H233</f>
        <v>0</v>
      </c>
      <c r="BQ233" s="77">
        <v>0</v>
      </c>
      <c r="BR233" s="80">
        <f>SUM(AO233:AW233)+SUM(BC233:BQ233)</f>
        <v>0</v>
      </c>
    </row>
    <row r="234" spans="1:70" s="171" customFormat="1" x14ac:dyDescent="0.35">
      <c r="A234" s="161"/>
      <c r="B234" s="161"/>
      <c r="C234" s="161"/>
      <c r="D234" s="161"/>
      <c r="E234" s="161"/>
      <c r="F234" s="162"/>
      <c r="G234" s="163">
        <f>SUBTOTAL(9,G229:G233)</f>
        <v>4</v>
      </c>
      <c r="H234" s="163"/>
      <c r="I234" s="161" t="s">
        <v>564</v>
      </c>
      <c r="J234" s="161"/>
      <c r="K234" s="161"/>
      <c r="L234" s="164"/>
      <c r="M234" s="161"/>
      <c r="N234" s="161"/>
      <c r="O234" s="161"/>
      <c r="P234" s="161"/>
      <c r="Q234" s="186"/>
      <c r="R234" s="200"/>
      <c r="S234" s="208"/>
      <c r="T234" s="163"/>
      <c r="U234" s="161"/>
      <c r="V234" s="165"/>
      <c r="W234" s="166"/>
      <c r="X234" s="165"/>
      <c r="Y234" s="166"/>
      <c r="Z234" s="161"/>
      <c r="AA234" s="167"/>
      <c r="AB234" s="164"/>
      <c r="AC234" s="168"/>
      <c r="AD234" s="168"/>
      <c r="AE234" s="168"/>
      <c r="AF234" s="168"/>
      <c r="AG234" s="168"/>
      <c r="AH234" s="168"/>
      <c r="AI234" s="168"/>
      <c r="AJ234" s="161"/>
      <c r="AK234" s="161"/>
      <c r="AL234" s="161"/>
      <c r="AM234" s="169"/>
      <c r="AN234" s="189">
        <f>SUBTOTAL(9,AN229:AN233)</f>
        <v>391282</v>
      </c>
      <c r="AO234" s="170">
        <f>SUBTOTAL(9,AO229:AO233)</f>
        <v>387981</v>
      </c>
      <c r="AP234" s="170">
        <f t="shared" ref="AP234:BR234" si="299">SUBTOTAL(9,AP229:AP233)</f>
        <v>0</v>
      </c>
      <c r="AQ234" s="170">
        <f t="shared" si="299"/>
        <v>1501</v>
      </c>
      <c r="AR234" s="170">
        <f t="shared" si="299"/>
        <v>0</v>
      </c>
      <c r="AS234" s="170">
        <f t="shared" si="299"/>
        <v>0</v>
      </c>
      <c r="AT234" s="170">
        <f t="shared" si="299"/>
        <v>0</v>
      </c>
      <c r="AU234" s="170">
        <f t="shared" si="299"/>
        <v>1800</v>
      </c>
      <c r="AV234" s="170">
        <f t="shared" si="299"/>
        <v>0</v>
      </c>
      <c r="AW234" s="170">
        <f t="shared" si="299"/>
        <v>0</v>
      </c>
      <c r="AX234" s="170">
        <f t="shared" si="299"/>
        <v>0</v>
      </c>
      <c r="AY234" s="170">
        <f t="shared" si="299"/>
        <v>0</v>
      </c>
      <c r="AZ234" s="170">
        <f t="shared" si="299"/>
        <v>0</v>
      </c>
      <c r="BA234" s="170">
        <f t="shared" si="299"/>
        <v>0</v>
      </c>
      <c r="BB234" s="170">
        <f t="shared" si="299"/>
        <v>0</v>
      </c>
      <c r="BC234" s="170">
        <f t="shared" si="299"/>
        <v>0</v>
      </c>
      <c r="BD234" s="170">
        <f t="shared" si="299"/>
        <v>980</v>
      </c>
      <c r="BE234" s="170">
        <f t="shared" si="299"/>
        <v>0</v>
      </c>
      <c r="BF234" s="170">
        <f t="shared" si="299"/>
        <v>632.4</v>
      </c>
      <c r="BG234" s="170">
        <f t="shared" si="299"/>
        <v>1777</v>
      </c>
      <c r="BH234" s="170">
        <f t="shared" si="299"/>
        <v>45498</v>
      </c>
      <c r="BI234" s="170">
        <f t="shared" si="299"/>
        <v>3000</v>
      </c>
      <c r="BJ234" s="170">
        <f t="shared" si="299"/>
        <v>744</v>
      </c>
      <c r="BK234" s="170">
        <f t="shared" si="299"/>
        <v>65972</v>
      </c>
      <c r="BL234" s="170">
        <f t="shared" si="299"/>
        <v>401</v>
      </c>
      <c r="BM234" s="170">
        <f t="shared" si="299"/>
        <v>576</v>
      </c>
      <c r="BN234" s="170">
        <f t="shared" si="299"/>
        <v>5676</v>
      </c>
      <c r="BO234" s="170">
        <f t="shared" si="299"/>
        <v>704</v>
      </c>
      <c r="BP234" s="170">
        <f t="shared" si="299"/>
        <v>0</v>
      </c>
      <c r="BQ234" s="170">
        <f t="shared" si="299"/>
        <v>0</v>
      </c>
      <c r="BR234" s="170">
        <f t="shared" si="299"/>
        <v>517242.4</v>
      </c>
    </row>
    <row r="235" spans="1:70" outlineLevel="1" x14ac:dyDescent="0.35">
      <c r="A235" s="1" t="s">
        <v>6</v>
      </c>
      <c r="B235" s="1" t="s">
        <v>7</v>
      </c>
      <c r="C235" s="1" t="s">
        <v>226</v>
      </c>
      <c r="D235" s="1" t="s">
        <v>56</v>
      </c>
      <c r="E235" s="1" t="s">
        <v>63</v>
      </c>
      <c r="F235" s="2">
        <v>1</v>
      </c>
      <c r="G235" s="66">
        <v>0.5</v>
      </c>
      <c r="H235" s="66">
        <v>0.5</v>
      </c>
      <c r="I235" s="1" t="s">
        <v>611</v>
      </c>
      <c r="J235" s="1" t="s">
        <v>612</v>
      </c>
      <c r="K235" s="1" t="s">
        <v>233</v>
      </c>
      <c r="L235" s="76" t="str">
        <f>IF(M235="","N",STEP!$J$22)</f>
        <v>N</v>
      </c>
      <c r="M235" s="1" t="s">
        <v>11</v>
      </c>
      <c r="N235" s="1" t="s">
        <v>11</v>
      </c>
      <c r="O235" s="1" t="s">
        <v>11</v>
      </c>
      <c r="P235" s="1"/>
      <c r="Q235" s="185">
        <v>20211122</v>
      </c>
      <c r="R235" s="196">
        <v>44522</v>
      </c>
      <c r="S235" s="197">
        <f t="shared" ref="S235:S243" si="300">IF(A235="FT",IF(R235&gt;$S$1,0,(DATEDIF(R235,$S$1,"M"))),0)</f>
        <v>10</v>
      </c>
      <c r="T235" s="66">
        <f t="shared" ref="T235:T243" si="301">ROUNDDOWN(IF(A235="FT",DATEDIF(R235,$T$1,"y"),0),0)</f>
        <v>1</v>
      </c>
      <c r="U235" s="65" t="s">
        <v>11</v>
      </c>
      <c r="V235" s="70">
        <v>44.230800000000002</v>
      </c>
      <c r="W235" s="74" t="str">
        <f t="shared" si="298"/>
        <v/>
      </c>
      <c r="X235" s="70" t="str" cm="1">
        <f t="array" ref="X235">IF(U235="","",INDEX(STEP!$C:$C,MATCH('Position Control'!M235&amp;'Position Control'!P235,STEP!$A:$A&amp;STEP!$B:$B,0)))</f>
        <v/>
      </c>
      <c r="Y235" s="74" t="str">
        <f t="shared" ref="Y235:Y242" si="302">IF(L235="Y",(20221001-U235)/10000,"")</f>
        <v/>
      </c>
      <c r="Z235" s="1">
        <v>7520</v>
      </c>
      <c r="AA235" s="112">
        <f>VLOOKUP(Z235,'WRK COMP'!$A$1:$E$17,5,FALSE)</f>
        <v>1.116E-2</v>
      </c>
      <c r="AB235" s="76" t="s">
        <v>13</v>
      </c>
      <c r="AC235" s="68">
        <v>0</v>
      </c>
      <c r="AD235" s="209">
        <v>57.690000000000005</v>
      </c>
      <c r="AE235" s="68">
        <v>0</v>
      </c>
      <c r="AF235" s="68">
        <v>0</v>
      </c>
      <c r="AG235" s="68">
        <v>0</v>
      </c>
      <c r="AH235" s="68">
        <v>12.5</v>
      </c>
      <c r="AI235" s="68">
        <v>0</v>
      </c>
      <c r="AJ235" s="1" t="s">
        <v>61</v>
      </c>
      <c r="AK235" s="1" t="s">
        <v>78</v>
      </c>
      <c r="AL235" s="10" t="s">
        <v>49</v>
      </c>
      <c r="AM235" s="78">
        <f>IF(F235&gt;0.79,IF(ROUNDUP(IF(B235="FS",(V235*HRS!$B$9),(V235*HRS!$L$2))*2,-3)&gt;150000,150000,(ROUNDUP(IF(B235="FS",(V235*HRS!$B$9),(V235*HRS!$L$2))*2,-3))),0)</f>
        <v>150000</v>
      </c>
      <c r="AN235" s="188">
        <f t="shared" ref="AN235:AN243" si="303">SUM(AO235:BB235)</f>
        <v>47800.5</v>
      </c>
      <c r="AO235" s="77">
        <f>IF(L235="N",IF(B235="FS",ROUNDUP($V235*HRS!$B$9*'Position Control'!F235,0),ROUNDUP('Position Control'!$V235*HRS!$L$2*'Position Control'!F235,0)),IF('Position Control'!B235="FS",ROUNDUP(('Position Control'!V235*HRS!$B$9*'Position Control'!W235*'Position Control'!F235)+('Position Control'!X235*HRS!$B$9*'Position Control'!Y235*'Position Control'!F235),0),ROUNDUP(('Position Control'!V235*HRS!$L$2*'Position Control'!W235*'Position Control'!F235)+('Position Control'!X235*HRS!$L$2*'Position Control'!Y235*'Position Control'!F235),0)))*'Position Control'!H235</f>
        <v>46000.5</v>
      </c>
      <c r="AP235" s="77">
        <f t="shared" ref="AP235:AP243" si="304">ROUNDUP(52*AC235,0)*H235</f>
        <v>0</v>
      </c>
      <c r="AQ235" s="77">
        <f t="shared" ref="AQ235:AQ243" si="305">IF(B235="FS",ROUNDUP(24*AD235,0),IF(B235="POL",ROUNDUP(26*AD235,0),ROUNDUP(52*AD235,0)))*$H235</f>
        <v>1500</v>
      </c>
      <c r="AR235" s="77">
        <f t="shared" ref="AR235:AR243" si="306">IF(B235="FS",ROUNDUP(AG235*24,0),ROUNDUP(52*AG235,0))*H235</f>
        <v>0</v>
      </c>
      <c r="AS235" s="77">
        <v>0</v>
      </c>
      <c r="AT235" s="79">
        <f t="shared" ref="AT235:AT243" si="307">ROUNDUP(26*AF235,0)*H235</f>
        <v>0</v>
      </c>
      <c r="AU235" s="77">
        <f t="shared" ref="AU235:AU243" si="308">IF(B235="FS",ROUNDUP(24*AH235,0),IF(B235="POL",ROUNDUP(26*AH235,0),ROUNDUP(48*AH235,0)))*$H235</f>
        <v>300</v>
      </c>
      <c r="AV235" s="77">
        <v>0</v>
      </c>
      <c r="AW235" s="77">
        <f t="shared" ref="AW235:AW243" si="309">IF(B235="FS",ROUNDUP(24*AE235,0),IF(B235="POL",ROUNDUP(26*AE235,0),ROUNDUP(52*AE235,0)))*$H235</f>
        <v>0</v>
      </c>
      <c r="AX235" s="77">
        <f t="shared" ref="AX235:AX243" si="310">IF(AND(Q235&lt;20220401,A235&lt;&gt;"SP"),($AX$3*(AO235+BE235)),0)</f>
        <v>0</v>
      </c>
      <c r="AY235" s="77">
        <f t="shared" ref="AY235:AY243" si="311">IF(AND($L235="N",$Q235&lt;20220401,$A235&lt;&gt;"SP",$AO235&lt;100000),($AY$3*($AO235+$BE235)),0)</f>
        <v>0</v>
      </c>
      <c r="AZ235" s="77">
        <f t="shared" ref="AZ235:AZ243" si="312">IF(AND($L235="N",$Q235&lt;20220401,$A235&lt;&gt;"SP",$AO235&gt;100000),($AZ$3*($AO235+$BE235)),0)</f>
        <v>0</v>
      </c>
      <c r="BA235" s="77">
        <f t="shared" ref="BA235:BA243" si="313">IF(AND($L235="N",$Q235&lt;20220401,$A235&lt;&gt;"SP"),($BA$3*($AO235+$BE235)),0)</f>
        <v>0</v>
      </c>
      <c r="BB235" s="77">
        <f t="shared" ref="BB235:BB243" si="314">IF(AND($L235="Y",$Q235&lt;20220401,$A235&lt;&gt;"SP"),($BB$3*($AO235+$BE235)),0)</f>
        <v>0</v>
      </c>
      <c r="BC235" s="77">
        <f t="shared" si="296"/>
        <v>0</v>
      </c>
      <c r="BD235" s="77">
        <f>IF($S235&gt;=12,IF(($S235*5)&gt;1200,1200,$S235*5),0)*$H235</f>
        <v>0</v>
      </c>
      <c r="BE235" s="77">
        <v>0</v>
      </c>
      <c r="BF235" s="77">
        <f t="shared" ref="BF235:BF243" si="315">$AM235*$BF$3*12*$H235</f>
        <v>90</v>
      </c>
      <c r="BG235" s="77">
        <f>VLOOKUP($AJ235,BENE!$I$2:$N$9,6,FALSE)*'Position Control'!$H235</f>
        <v>155.5</v>
      </c>
      <c r="BH235" s="77">
        <f>VLOOKUP($AK235,BENE!$A$2:$F$19,6,FALSE)*'Position Control'!$H235</f>
        <v>9012</v>
      </c>
      <c r="BI235" s="77">
        <f>VLOOKUP($AK235,BENE!$A$2:$G$19,7,FALSE)*'Position Control'!$H235</f>
        <v>0</v>
      </c>
      <c r="BJ235" s="77">
        <f>VLOOKUP($AL235,BENE!$P$2:$S$6,4,FALSE)*'Position Control'!$H235</f>
        <v>0</v>
      </c>
      <c r="BK235" s="77">
        <f>IF($F235&gt;HRS!$H$2,ROUNDUP(((($AN235+$BE235)*$BK$3)/12*9)+(($AN235+$BE235)*HRS!$B$10/12*3),0),0)*$H235</f>
        <v>4030</v>
      </c>
      <c r="BL235" s="80">
        <f t="shared" ref="BL235:BL243" si="316">ROUNDUP($AN235*$AA235,0)*$H235</f>
        <v>267</v>
      </c>
      <c r="BM235" s="77">
        <f t="shared" ref="BM235:BM243" si="317">ROUNDUP(IF($AN235&gt;9000,$BM$3*9000,$BM$3*$AN235),0)*$H235</f>
        <v>72</v>
      </c>
      <c r="BN235" s="77">
        <f t="shared" ref="BN235:BN243" si="318">IF($AB235="Y",ROUNDUP($AN235*$BN$3,0),0)*$H235</f>
        <v>347</v>
      </c>
      <c r="BO235" s="77">
        <f t="shared" ref="BO235:BO243" si="319">IF($A235&lt;&gt;"SP",ROUND($BO$3*$AN235,0)*$H235,0)</f>
        <v>43</v>
      </c>
      <c r="BP235" s="77">
        <f t="shared" ref="BP235:BP243" si="320">IF($T235&gt;24,2000,IF($T235&gt;19,1750,IF($T235&gt;14,1500,IF($T235&gt;9.9999999999999,1000,0))))*$H235</f>
        <v>0</v>
      </c>
      <c r="BQ235" s="77">
        <v>0</v>
      </c>
      <c r="BR235" s="80">
        <f t="shared" ref="BR235:BR243" si="321">SUM(AO235:AW235)+SUM(BC235:BQ235)</f>
        <v>61817</v>
      </c>
    </row>
    <row r="236" spans="1:70" outlineLevel="1" x14ac:dyDescent="0.35">
      <c r="A236" s="1" t="s">
        <v>6</v>
      </c>
      <c r="B236" s="1" t="s">
        <v>7</v>
      </c>
      <c r="C236" s="1" t="s">
        <v>226</v>
      </c>
      <c r="D236" s="1" t="s">
        <v>56</v>
      </c>
      <c r="E236" s="1" t="s">
        <v>63</v>
      </c>
      <c r="F236" s="2">
        <v>1</v>
      </c>
      <c r="G236" s="66">
        <v>1</v>
      </c>
      <c r="H236" s="66">
        <v>1</v>
      </c>
      <c r="I236" s="1" t="s">
        <v>611</v>
      </c>
      <c r="J236" s="1" t="s">
        <v>612</v>
      </c>
      <c r="K236" s="1" t="s">
        <v>235</v>
      </c>
      <c r="L236" s="76" t="str">
        <f>IF(M236="","N",STEP!$J$22)</f>
        <v>N</v>
      </c>
      <c r="M236" s="1" t="s">
        <v>11</v>
      </c>
      <c r="N236" s="1" t="s">
        <v>11</v>
      </c>
      <c r="O236" s="1" t="s">
        <v>11</v>
      </c>
      <c r="P236" s="1"/>
      <c r="Q236" s="185">
        <v>20120130</v>
      </c>
      <c r="R236" s="196">
        <v>40938</v>
      </c>
      <c r="S236" s="197">
        <f t="shared" si="300"/>
        <v>128</v>
      </c>
      <c r="T236" s="66">
        <f t="shared" si="301"/>
        <v>11</v>
      </c>
      <c r="U236" s="65" t="s">
        <v>11</v>
      </c>
      <c r="V236" s="70">
        <v>28.724</v>
      </c>
      <c r="W236" s="74" t="str">
        <f t="shared" si="298"/>
        <v/>
      </c>
      <c r="X236" s="70" t="str" cm="1">
        <f t="array" ref="X236">IF(U236="","",INDEX(STEP!$C:$C,MATCH('Position Control'!M236&amp;'Position Control'!P236,STEP!$A:$A&amp;STEP!$B:$B,0)))</f>
        <v/>
      </c>
      <c r="Y236" s="74" t="str">
        <f t="shared" si="302"/>
        <v/>
      </c>
      <c r="Z236" s="1">
        <v>7520</v>
      </c>
      <c r="AA236" s="112">
        <f>VLOOKUP(Z236,'WRK COMP'!$A$1:$E$17,5,FALSE)</f>
        <v>1.116E-2</v>
      </c>
      <c r="AB236" s="76" t="s">
        <v>13</v>
      </c>
      <c r="AC236" s="68">
        <v>0</v>
      </c>
      <c r="AD236" s="209">
        <v>11.54</v>
      </c>
      <c r="AE236" s="68">
        <v>0</v>
      </c>
      <c r="AF236" s="68">
        <v>0</v>
      </c>
      <c r="AG236" s="68">
        <v>0</v>
      </c>
      <c r="AH236" s="68">
        <v>0</v>
      </c>
      <c r="AI236" s="68">
        <v>0</v>
      </c>
      <c r="AJ236" s="1" t="s">
        <v>18</v>
      </c>
      <c r="AK236" s="10" t="s">
        <v>49</v>
      </c>
      <c r="AL236" s="1" t="s">
        <v>16</v>
      </c>
      <c r="AM236" s="78">
        <f>IF(F236&gt;0.79,IF(ROUNDUP(IF(B236="FS",(V236*HRS!$B$9),(V236*HRS!$L$2))*2,-3)&gt;150000,150000,(ROUNDUP(IF(B236="FS",(V236*HRS!$B$9),(V236*HRS!$L$2))*2,-3))),0)</f>
        <v>120000</v>
      </c>
      <c r="AN236" s="188">
        <f t="shared" si="303"/>
        <v>60347</v>
      </c>
      <c r="AO236" s="77">
        <f>IF(L236="N",IF(B236="FS",ROUNDUP($V236*HRS!$B$9*'Position Control'!F236,0),ROUNDUP('Position Control'!$V236*HRS!$L$2*'Position Control'!F236,0)),IF('Position Control'!B236="FS",ROUNDUP(('Position Control'!V236*HRS!$B$9*'Position Control'!W236*'Position Control'!F236)+('Position Control'!X236*HRS!$B$9*'Position Control'!Y236*'Position Control'!F236),0),ROUNDUP(('Position Control'!V236*HRS!$L$2*'Position Control'!W236*'Position Control'!F236)+('Position Control'!X236*HRS!$L$2*'Position Control'!Y236*'Position Control'!F236),0)))*'Position Control'!H236</f>
        <v>59746</v>
      </c>
      <c r="AP236" s="77">
        <f t="shared" si="304"/>
        <v>0</v>
      </c>
      <c r="AQ236" s="77">
        <f t="shared" si="305"/>
        <v>601</v>
      </c>
      <c r="AR236" s="77">
        <f t="shared" si="306"/>
        <v>0</v>
      </c>
      <c r="AS236" s="77">
        <v>0</v>
      </c>
      <c r="AT236" s="79">
        <f t="shared" si="307"/>
        <v>0</v>
      </c>
      <c r="AU236" s="77">
        <f t="shared" si="308"/>
        <v>0</v>
      </c>
      <c r="AV236" s="77">
        <v>0</v>
      </c>
      <c r="AW236" s="77">
        <f t="shared" si="309"/>
        <v>0</v>
      </c>
      <c r="AX236" s="77">
        <f t="shared" si="310"/>
        <v>0</v>
      </c>
      <c r="AY236" s="77">
        <f t="shared" si="311"/>
        <v>0</v>
      </c>
      <c r="AZ236" s="77">
        <f t="shared" si="312"/>
        <v>0</v>
      </c>
      <c r="BA236" s="77">
        <f t="shared" si="313"/>
        <v>0</v>
      </c>
      <c r="BB236" s="77">
        <f t="shared" si="314"/>
        <v>0</v>
      </c>
      <c r="BC236" s="77">
        <f t="shared" si="296"/>
        <v>0</v>
      </c>
      <c r="BD236" s="77">
        <f>IF($S236&gt;=12,IF(($S236*5)&gt;1200,1200,$S236*5),0)*$H236</f>
        <v>640</v>
      </c>
      <c r="BE236" s="77">
        <v>0</v>
      </c>
      <c r="BF236" s="77">
        <f t="shared" si="315"/>
        <v>144</v>
      </c>
      <c r="BG236" s="77">
        <f>VLOOKUP($AJ236,BENE!$I$2:$N$9,6,FALSE)*'Position Control'!$H236</f>
        <v>760</v>
      </c>
      <c r="BH236" s="77">
        <f>VLOOKUP($AK236,BENE!$A$2:$F$19,6,FALSE)*'Position Control'!$H236</f>
        <v>0</v>
      </c>
      <c r="BI236" s="77">
        <f>VLOOKUP($AK236,BENE!$A$2:$G$19,7,FALSE)*'Position Control'!$H236</f>
        <v>0</v>
      </c>
      <c r="BJ236" s="77">
        <f>VLOOKUP($AL236,BENE!$P$2:$S$6,4,FALSE)*'Position Control'!$H236</f>
        <v>240</v>
      </c>
      <c r="BK236" s="77">
        <f>IF($F236&gt;HRS!$H$2,ROUNDUP(((($AN236+$BE236)*$BK$3)/12*9)+(($AN236+$BE236)*HRS!$B$10/12*3),0),0)*$H236</f>
        <v>10175</v>
      </c>
      <c r="BL236" s="80">
        <f t="shared" si="316"/>
        <v>674</v>
      </c>
      <c r="BM236" s="77">
        <f t="shared" si="317"/>
        <v>144</v>
      </c>
      <c r="BN236" s="77">
        <f t="shared" si="318"/>
        <v>876</v>
      </c>
      <c r="BO236" s="77">
        <f t="shared" si="319"/>
        <v>109</v>
      </c>
      <c r="BP236" s="77">
        <f t="shared" si="320"/>
        <v>1000</v>
      </c>
      <c r="BQ236" s="77">
        <v>0</v>
      </c>
      <c r="BR236" s="80">
        <f t="shared" si="321"/>
        <v>75109</v>
      </c>
    </row>
    <row r="237" spans="1:70" outlineLevel="1" x14ac:dyDescent="0.35">
      <c r="A237" s="1" t="s">
        <v>6</v>
      </c>
      <c r="B237" s="1" t="s">
        <v>7</v>
      </c>
      <c r="C237" s="1" t="s">
        <v>226</v>
      </c>
      <c r="D237" s="1" t="s">
        <v>56</v>
      </c>
      <c r="E237" s="1" t="s">
        <v>63</v>
      </c>
      <c r="F237" s="2">
        <v>1</v>
      </c>
      <c r="G237" s="66">
        <v>1</v>
      </c>
      <c r="H237" s="66">
        <v>1</v>
      </c>
      <c r="I237" s="1" t="s">
        <v>611</v>
      </c>
      <c r="J237" s="1" t="s">
        <v>612</v>
      </c>
      <c r="K237" s="1" t="s">
        <v>231</v>
      </c>
      <c r="L237" s="76" t="str">
        <f>IF(M237="","N",STEP!$J$22)</f>
        <v>N</v>
      </c>
      <c r="M237" s="1" t="s">
        <v>11</v>
      </c>
      <c r="N237" s="1" t="s">
        <v>11</v>
      </c>
      <c r="O237" s="1" t="s">
        <v>11</v>
      </c>
      <c r="P237" s="1"/>
      <c r="Q237" s="185">
        <v>20080922</v>
      </c>
      <c r="R237" s="196">
        <v>39713</v>
      </c>
      <c r="S237" s="197">
        <f t="shared" si="300"/>
        <v>168</v>
      </c>
      <c r="T237" s="66">
        <f t="shared" si="301"/>
        <v>15</v>
      </c>
      <c r="U237" s="65" t="s">
        <v>11</v>
      </c>
      <c r="V237" s="70">
        <v>24.335799999999999</v>
      </c>
      <c r="W237" s="74" t="str">
        <f t="shared" si="298"/>
        <v/>
      </c>
      <c r="X237" s="70" t="str" cm="1">
        <f t="array" ref="X237">IF(U237="","",INDEX(STEP!$C:$C,MATCH('Position Control'!M237&amp;'Position Control'!P237,STEP!$A:$A&amp;STEP!$B:$B,0)))</f>
        <v/>
      </c>
      <c r="Y237" s="74" t="str">
        <f t="shared" si="302"/>
        <v/>
      </c>
      <c r="Z237" s="1">
        <v>7520</v>
      </c>
      <c r="AA237" s="112">
        <f>VLOOKUP(Z237,'WRK COMP'!$A$1:$E$17,5,FALSE)</f>
        <v>1.116E-2</v>
      </c>
      <c r="AB237" s="76" t="s">
        <v>13</v>
      </c>
      <c r="AC237" s="68">
        <v>0</v>
      </c>
      <c r="AD237" s="209">
        <v>28.849999999999998</v>
      </c>
      <c r="AE237" s="68">
        <v>0</v>
      </c>
      <c r="AF237" s="68">
        <v>0</v>
      </c>
      <c r="AG237" s="68">
        <v>0</v>
      </c>
      <c r="AH237" s="68">
        <v>0</v>
      </c>
      <c r="AI237" s="68">
        <v>0</v>
      </c>
      <c r="AJ237" s="1" t="s">
        <v>28</v>
      </c>
      <c r="AK237" s="1" t="s">
        <v>32</v>
      </c>
      <c r="AL237" s="1" t="s">
        <v>36</v>
      </c>
      <c r="AM237" s="78">
        <f>IF(F237&gt;0.79,IF(ROUNDUP(IF(B237="FS",(V237*HRS!$B$9),(V237*HRS!$L$2))*2,-3)&gt;150000,150000,(ROUNDUP(IF(B237="FS",(V237*HRS!$B$9),(V237*HRS!$L$2))*2,-3))),0)</f>
        <v>102000</v>
      </c>
      <c r="AN237" s="188">
        <f t="shared" si="303"/>
        <v>52120</v>
      </c>
      <c r="AO237" s="77">
        <f>IF(L237="N",IF(B237="FS",ROUNDUP($V237*HRS!$B$9*'Position Control'!F237,0),ROUNDUP('Position Control'!$V237*HRS!$L$2*'Position Control'!F237,0)),IF('Position Control'!B237="FS",ROUNDUP(('Position Control'!V237*HRS!$B$9*'Position Control'!W237*'Position Control'!F237)+('Position Control'!X237*HRS!$B$9*'Position Control'!Y237*'Position Control'!F237),0),ROUNDUP(('Position Control'!V237*HRS!$L$2*'Position Control'!W237*'Position Control'!F237)+('Position Control'!X237*HRS!$L$2*'Position Control'!Y237*'Position Control'!F237),0)))*'Position Control'!H237</f>
        <v>50619</v>
      </c>
      <c r="AP237" s="77">
        <f t="shared" si="304"/>
        <v>0</v>
      </c>
      <c r="AQ237" s="77">
        <f t="shared" si="305"/>
        <v>1501</v>
      </c>
      <c r="AR237" s="77">
        <f t="shared" si="306"/>
        <v>0</v>
      </c>
      <c r="AS237" s="77">
        <v>0</v>
      </c>
      <c r="AT237" s="79">
        <f t="shared" si="307"/>
        <v>0</v>
      </c>
      <c r="AU237" s="77">
        <f t="shared" si="308"/>
        <v>0</v>
      </c>
      <c r="AV237" s="77">
        <v>0</v>
      </c>
      <c r="AW237" s="77">
        <f t="shared" si="309"/>
        <v>0</v>
      </c>
      <c r="AX237" s="77">
        <f t="shared" si="310"/>
        <v>0</v>
      </c>
      <c r="AY237" s="77">
        <f t="shared" si="311"/>
        <v>0</v>
      </c>
      <c r="AZ237" s="77">
        <f t="shared" si="312"/>
        <v>0</v>
      </c>
      <c r="BA237" s="77">
        <f t="shared" si="313"/>
        <v>0</v>
      </c>
      <c r="BB237" s="77">
        <f t="shared" si="314"/>
        <v>0</v>
      </c>
      <c r="BC237" s="77">
        <f t="shared" si="296"/>
        <v>0</v>
      </c>
      <c r="BD237" s="77">
        <f>IF($S237&gt;=12,IF(($S237*5)&gt;1200,1200,$S237*5),0)*$H237</f>
        <v>840</v>
      </c>
      <c r="BE237" s="77">
        <v>0</v>
      </c>
      <c r="BF237" s="77">
        <f t="shared" si="315"/>
        <v>122.4</v>
      </c>
      <c r="BG237" s="77">
        <f>VLOOKUP($AJ237,BENE!$I$2:$N$9,6,FALSE)*'Position Control'!$H237</f>
        <v>154</v>
      </c>
      <c r="BH237" s="77">
        <f>VLOOKUP($AK237,BENE!$A$2:$F$19,6,FALSE)*'Position Control'!$H237</f>
        <v>6273</v>
      </c>
      <c r="BI237" s="77">
        <f>VLOOKUP($AK237,BENE!$A$2:$G$19,7,FALSE)*'Position Control'!$H237</f>
        <v>1000</v>
      </c>
      <c r="BJ237" s="77">
        <f>VLOOKUP($AL237,BENE!$P$2:$S$6,4,FALSE)*'Position Control'!$H237</f>
        <v>312</v>
      </c>
      <c r="BK237" s="77">
        <f>IF($F237&gt;HRS!$H$2,ROUNDUP(((($AN237+$BE237)*$BK$3)/12*9)+(($AN237+$BE237)*HRS!$B$10/12*3),0),0)*$H237</f>
        <v>8788</v>
      </c>
      <c r="BL237" s="80">
        <f t="shared" si="316"/>
        <v>582</v>
      </c>
      <c r="BM237" s="77">
        <f t="shared" si="317"/>
        <v>144</v>
      </c>
      <c r="BN237" s="77">
        <f t="shared" si="318"/>
        <v>756</v>
      </c>
      <c r="BO237" s="77">
        <f t="shared" si="319"/>
        <v>94</v>
      </c>
      <c r="BP237" s="77">
        <f t="shared" si="320"/>
        <v>1500</v>
      </c>
      <c r="BQ237" s="77">
        <v>0</v>
      </c>
      <c r="BR237" s="80">
        <f t="shared" si="321"/>
        <v>72685.399999999994</v>
      </c>
    </row>
    <row r="238" spans="1:70" outlineLevel="1" x14ac:dyDescent="0.35">
      <c r="A238" s="1" t="s">
        <v>6</v>
      </c>
      <c r="B238" s="1" t="s">
        <v>7</v>
      </c>
      <c r="C238" s="1" t="s">
        <v>226</v>
      </c>
      <c r="D238" s="1" t="s">
        <v>56</v>
      </c>
      <c r="E238" s="1" t="s">
        <v>63</v>
      </c>
      <c r="F238" s="2">
        <v>1</v>
      </c>
      <c r="G238" s="66">
        <v>1</v>
      </c>
      <c r="H238" s="66">
        <v>1</v>
      </c>
      <c r="I238" s="1" t="s">
        <v>611</v>
      </c>
      <c r="J238" s="1" t="s">
        <v>612</v>
      </c>
      <c r="K238" s="1" t="s">
        <v>238</v>
      </c>
      <c r="L238" s="76" t="str">
        <f>IF(M238="","N",STEP!$J$22)</f>
        <v>N</v>
      </c>
      <c r="M238" s="1" t="s">
        <v>11</v>
      </c>
      <c r="N238" s="1" t="s">
        <v>11</v>
      </c>
      <c r="O238" s="1" t="s">
        <v>11</v>
      </c>
      <c r="P238" s="1"/>
      <c r="Q238" s="185">
        <v>20170323</v>
      </c>
      <c r="R238" s="196">
        <v>42817</v>
      </c>
      <c r="S238" s="197">
        <f t="shared" si="300"/>
        <v>66</v>
      </c>
      <c r="T238" s="66">
        <f t="shared" si="301"/>
        <v>6</v>
      </c>
      <c r="U238" s="65" t="s">
        <v>11</v>
      </c>
      <c r="V238" s="70">
        <v>24.335799999999999</v>
      </c>
      <c r="W238" s="74" t="str">
        <f t="shared" si="298"/>
        <v/>
      </c>
      <c r="X238" s="70" t="str" cm="1">
        <f t="array" ref="X238">IF(U238="","",INDEX(STEP!$C:$C,MATCH('Position Control'!M238&amp;'Position Control'!P238,STEP!$A:$A&amp;STEP!$B:$B,0)))</f>
        <v/>
      </c>
      <c r="Y238" s="74" t="str">
        <f t="shared" si="302"/>
        <v/>
      </c>
      <c r="Z238" s="1">
        <v>7520</v>
      </c>
      <c r="AA238" s="112">
        <f>VLOOKUP(Z238,'WRK COMP'!$A$1:$E$17,5,FALSE)</f>
        <v>1.116E-2</v>
      </c>
      <c r="AB238" s="76" t="s">
        <v>13</v>
      </c>
      <c r="AC238" s="68">
        <v>0</v>
      </c>
      <c r="AD238" s="209">
        <v>5.77</v>
      </c>
      <c r="AE238" s="68">
        <v>0</v>
      </c>
      <c r="AF238" s="68">
        <v>0</v>
      </c>
      <c r="AG238" s="68">
        <v>0</v>
      </c>
      <c r="AH238" s="68">
        <v>0</v>
      </c>
      <c r="AI238" s="68">
        <v>0</v>
      </c>
      <c r="AJ238" s="1" t="s">
        <v>14</v>
      </c>
      <c r="AK238" s="1" t="s">
        <v>32</v>
      </c>
      <c r="AL238" s="1" t="s">
        <v>16</v>
      </c>
      <c r="AM238" s="78">
        <f>IF(F238&gt;0.79,IF(ROUNDUP(IF(B238="FS",(V238*HRS!$B$9),(V238*HRS!$L$2))*2,-3)&gt;150000,150000,(ROUNDUP(IF(B238="FS",(V238*HRS!$B$9),(V238*HRS!$L$2))*2,-3))),0)</f>
        <v>102000</v>
      </c>
      <c r="AN238" s="188">
        <f t="shared" si="303"/>
        <v>50920</v>
      </c>
      <c r="AO238" s="77">
        <f>IF(L238="N",IF(B238="FS",ROUNDUP($V238*HRS!$B$9*'Position Control'!F238,0),ROUNDUP('Position Control'!$V238*HRS!$L$2*'Position Control'!F238,0)),IF('Position Control'!B238="FS",ROUNDUP(('Position Control'!V238*HRS!$B$9*'Position Control'!W238*'Position Control'!F238)+('Position Control'!X238*HRS!$B$9*'Position Control'!Y238*'Position Control'!F238),0),ROUNDUP(('Position Control'!V238*HRS!$L$2*'Position Control'!W238*'Position Control'!F238)+('Position Control'!X238*HRS!$L$2*'Position Control'!Y238*'Position Control'!F238),0)))*'Position Control'!H238</f>
        <v>50619</v>
      </c>
      <c r="AP238" s="77">
        <f t="shared" si="304"/>
        <v>0</v>
      </c>
      <c r="AQ238" s="77">
        <f t="shared" si="305"/>
        <v>301</v>
      </c>
      <c r="AR238" s="77">
        <f t="shared" si="306"/>
        <v>0</v>
      </c>
      <c r="AS238" s="77">
        <v>0</v>
      </c>
      <c r="AT238" s="79">
        <f t="shared" si="307"/>
        <v>0</v>
      </c>
      <c r="AU238" s="77">
        <f t="shared" si="308"/>
        <v>0</v>
      </c>
      <c r="AV238" s="77">
        <v>0</v>
      </c>
      <c r="AW238" s="77">
        <f t="shared" si="309"/>
        <v>0</v>
      </c>
      <c r="AX238" s="77">
        <f t="shared" si="310"/>
        <v>0</v>
      </c>
      <c r="AY238" s="77">
        <f t="shared" si="311"/>
        <v>0</v>
      </c>
      <c r="AZ238" s="77">
        <f t="shared" si="312"/>
        <v>0</v>
      </c>
      <c r="BA238" s="77">
        <f t="shared" si="313"/>
        <v>0</v>
      </c>
      <c r="BB238" s="77">
        <f t="shared" si="314"/>
        <v>0</v>
      </c>
      <c r="BC238" s="77">
        <f t="shared" si="296"/>
        <v>0</v>
      </c>
      <c r="BD238" s="77">
        <f>IF($S238&gt;=12,IF(($S238*5)&gt;1200,1200,$S238*5),0)*$H238</f>
        <v>330</v>
      </c>
      <c r="BE238" s="77">
        <v>0</v>
      </c>
      <c r="BF238" s="77">
        <f t="shared" si="315"/>
        <v>122.4</v>
      </c>
      <c r="BG238" s="77">
        <f>VLOOKUP($AJ238,BENE!$I$2:$N$9,6,FALSE)*'Position Control'!$H238</f>
        <v>389</v>
      </c>
      <c r="BH238" s="77">
        <f>VLOOKUP($AK238,BENE!$A$2:$F$19,6,FALSE)*'Position Control'!$H238</f>
        <v>6273</v>
      </c>
      <c r="BI238" s="77">
        <f>VLOOKUP($AK238,BENE!$A$2:$G$19,7,FALSE)*'Position Control'!$H238</f>
        <v>1000</v>
      </c>
      <c r="BJ238" s="77">
        <f>VLOOKUP($AL238,BENE!$P$2:$S$6,4,FALSE)*'Position Control'!$H238</f>
        <v>240</v>
      </c>
      <c r="BK238" s="77">
        <f>IF($F238&gt;HRS!$H$2,ROUNDUP(((($AN238+$BE238)*$BK$3)/12*9)+(($AN238+$BE238)*HRS!$B$10/12*3),0),0)*$H238</f>
        <v>8586</v>
      </c>
      <c r="BL238" s="80">
        <f t="shared" si="316"/>
        <v>569</v>
      </c>
      <c r="BM238" s="77">
        <f t="shared" si="317"/>
        <v>144</v>
      </c>
      <c r="BN238" s="77">
        <f t="shared" si="318"/>
        <v>739</v>
      </c>
      <c r="BO238" s="77">
        <f t="shared" si="319"/>
        <v>92</v>
      </c>
      <c r="BP238" s="77">
        <f t="shared" si="320"/>
        <v>0</v>
      </c>
      <c r="BQ238" s="77">
        <v>0</v>
      </c>
      <c r="BR238" s="80">
        <f t="shared" si="321"/>
        <v>69404.399999999994</v>
      </c>
    </row>
    <row r="239" spans="1:70" outlineLevel="1" x14ac:dyDescent="0.35">
      <c r="A239" s="1" t="s">
        <v>6</v>
      </c>
      <c r="B239" s="1" t="s">
        <v>7</v>
      </c>
      <c r="C239" s="1" t="s">
        <v>226</v>
      </c>
      <c r="D239" s="1" t="s">
        <v>56</v>
      </c>
      <c r="E239" s="1" t="s">
        <v>63</v>
      </c>
      <c r="F239" s="2">
        <v>1</v>
      </c>
      <c r="G239" s="66">
        <v>1</v>
      </c>
      <c r="H239" s="66">
        <v>1</v>
      </c>
      <c r="I239" s="1" t="s">
        <v>611</v>
      </c>
      <c r="J239" s="1" t="s">
        <v>612</v>
      </c>
      <c r="K239" s="1" t="s">
        <v>232</v>
      </c>
      <c r="L239" s="76" t="str">
        <f>IF(M239="","N",STEP!$J$22)</f>
        <v>N</v>
      </c>
      <c r="M239" s="1" t="s">
        <v>11</v>
      </c>
      <c r="N239" s="1" t="s">
        <v>11</v>
      </c>
      <c r="O239" s="1" t="s">
        <v>11</v>
      </c>
      <c r="P239" s="1"/>
      <c r="Q239" s="185">
        <v>20220110</v>
      </c>
      <c r="R239" s="196">
        <v>44571</v>
      </c>
      <c r="S239" s="197">
        <f t="shared" si="300"/>
        <v>8</v>
      </c>
      <c r="T239" s="66">
        <f t="shared" si="301"/>
        <v>1</v>
      </c>
      <c r="U239" s="65" t="s">
        <v>11</v>
      </c>
      <c r="V239" s="70">
        <v>23.858699999999999</v>
      </c>
      <c r="W239" s="74" t="str">
        <f t="shared" si="298"/>
        <v/>
      </c>
      <c r="X239" s="70" t="str" cm="1">
        <f t="array" ref="X239">IF(U239="","",INDEX(STEP!$C:$C,MATCH('Position Control'!M239&amp;'Position Control'!P239,STEP!$A:$A&amp;STEP!$B:$B,0)))</f>
        <v/>
      </c>
      <c r="Y239" s="74" t="str">
        <f t="shared" si="302"/>
        <v/>
      </c>
      <c r="Z239" s="1">
        <v>7520</v>
      </c>
      <c r="AA239" s="112">
        <f>VLOOKUP(Z239,'WRK COMP'!$A$1:$E$17,5,FALSE)</f>
        <v>1.116E-2</v>
      </c>
      <c r="AB239" s="76" t="s">
        <v>13</v>
      </c>
      <c r="AC239" s="68">
        <v>0</v>
      </c>
      <c r="AD239" s="209">
        <v>5.77</v>
      </c>
      <c r="AE239" s="68">
        <v>0</v>
      </c>
      <c r="AF239" s="68">
        <v>0</v>
      </c>
      <c r="AG239" s="68">
        <v>0</v>
      </c>
      <c r="AH239" s="68">
        <v>0</v>
      </c>
      <c r="AI239" s="68">
        <v>0</v>
      </c>
      <c r="AJ239" s="1" t="s">
        <v>28</v>
      </c>
      <c r="AK239" s="1" t="s">
        <v>43</v>
      </c>
      <c r="AL239" s="10" t="s">
        <v>49</v>
      </c>
      <c r="AM239" s="78">
        <f>IF(F239&gt;0.79,IF(ROUNDUP(IF(B239="FS",(V239*HRS!$B$9),(V239*HRS!$L$2))*2,-3)&gt;150000,150000,(ROUNDUP(IF(B239="FS",(V239*HRS!$B$9),(V239*HRS!$L$2))*2,-3))),0)</f>
        <v>100000</v>
      </c>
      <c r="AN239" s="188">
        <f t="shared" si="303"/>
        <v>49928</v>
      </c>
      <c r="AO239" s="77">
        <f>IF(L239="N",IF(B239="FS",ROUNDUP($V239*HRS!$B$9*'Position Control'!F239,0),ROUNDUP('Position Control'!$V239*HRS!$L$2*'Position Control'!F239,0)),IF('Position Control'!B239="FS",ROUNDUP(('Position Control'!V239*HRS!$B$9*'Position Control'!W239*'Position Control'!F239)+('Position Control'!X239*HRS!$B$9*'Position Control'!Y239*'Position Control'!F239),0),ROUNDUP(('Position Control'!V239*HRS!$L$2*'Position Control'!W239*'Position Control'!F239)+('Position Control'!X239*HRS!$L$2*'Position Control'!Y239*'Position Control'!F239),0)))*'Position Control'!H239</f>
        <v>49627</v>
      </c>
      <c r="AP239" s="77">
        <f t="shared" si="304"/>
        <v>0</v>
      </c>
      <c r="AQ239" s="77">
        <f t="shared" si="305"/>
        <v>301</v>
      </c>
      <c r="AR239" s="77">
        <f t="shared" si="306"/>
        <v>0</v>
      </c>
      <c r="AS239" s="77">
        <v>0</v>
      </c>
      <c r="AT239" s="79">
        <f t="shared" si="307"/>
        <v>0</v>
      </c>
      <c r="AU239" s="77">
        <f t="shared" si="308"/>
        <v>0</v>
      </c>
      <c r="AV239" s="77">
        <v>0</v>
      </c>
      <c r="AW239" s="77">
        <f t="shared" si="309"/>
        <v>0</v>
      </c>
      <c r="AX239" s="77">
        <f t="shared" si="310"/>
        <v>0</v>
      </c>
      <c r="AY239" s="77">
        <f t="shared" si="311"/>
        <v>0</v>
      </c>
      <c r="AZ239" s="77">
        <f t="shared" si="312"/>
        <v>0</v>
      </c>
      <c r="BA239" s="77">
        <f t="shared" si="313"/>
        <v>0</v>
      </c>
      <c r="BB239" s="77">
        <f t="shared" si="314"/>
        <v>0</v>
      </c>
      <c r="BC239" s="77">
        <f t="shared" si="296"/>
        <v>0</v>
      </c>
      <c r="BD239" s="77">
        <f>IF($S239&gt;=12,IF(($S239*5)&gt;1200,1200,$S239*5),0)*$H239</f>
        <v>0</v>
      </c>
      <c r="BE239" s="77">
        <v>0</v>
      </c>
      <c r="BF239" s="77">
        <f t="shared" si="315"/>
        <v>120</v>
      </c>
      <c r="BG239" s="77">
        <f>VLOOKUP($AJ239,BENE!$I$2:$N$9,6,FALSE)*'Position Control'!$H239</f>
        <v>154</v>
      </c>
      <c r="BH239" s="77">
        <f>VLOOKUP($AK239,BENE!$A$2:$F$19,6,FALSE)*'Position Control'!$H239</f>
        <v>6870</v>
      </c>
      <c r="BI239" s="77">
        <f>VLOOKUP($AK239,BENE!$A$2:$G$19,7,FALSE)*'Position Control'!$H239</f>
        <v>0</v>
      </c>
      <c r="BJ239" s="77">
        <f>VLOOKUP($AL239,BENE!$P$2:$S$6,4,FALSE)*'Position Control'!$H239</f>
        <v>0</v>
      </c>
      <c r="BK239" s="77">
        <f>IF($F239&gt;HRS!$H$2,ROUNDUP(((($AN239+$BE239)*$BK$3)/12*9)+(($AN239+$BE239)*HRS!$B$10/12*3),0),0)*$H239</f>
        <v>8418</v>
      </c>
      <c r="BL239" s="80">
        <f t="shared" si="316"/>
        <v>558</v>
      </c>
      <c r="BM239" s="77">
        <f t="shared" si="317"/>
        <v>144</v>
      </c>
      <c r="BN239" s="77">
        <f t="shared" si="318"/>
        <v>724</v>
      </c>
      <c r="BO239" s="77">
        <f t="shared" si="319"/>
        <v>90</v>
      </c>
      <c r="BP239" s="77">
        <f t="shared" si="320"/>
        <v>0</v>
      </c>
      <c r="BQ239" s="77">
        <v>0</v>
      </c>
      <c r="BR239" s="80">
        <f t="shared" si="321"/>
        <v>67006</v>
      </c>
    </row>
    <row r="240" spans="1:70" outlineLevel="1" x14ac:dyDescent="0.35">
      <c r="A240" s="1" t="s">
        <v>6</v>
      </c>
      <c r="B240" s="1" t="s">
        <v>7</v>
      </c>
      <c r="C240" s="1" t="s">
        <v>226</v>
      </c>
      <c r="D240" s="1" t="s">
        <v>56</v>
      </c>
      <c r="E240" s="1" t="s">
        <v>63</v>
      </c>
      <c r="F240" s="2">
        <v>1</v>
      </c>
      <c r="G240" s="66">
        <v>1</v>
      </c>
      <c r="H240" s="66">
        <v>1</v>
      </c>
      <c r="I240" s="1" t="s">
        <v>611</v>
      </c>
      <c r="J240" s="1" t="s">
        <v>612</v>
      </c>
      <c r="K240" s="1" t="s">
        <v>234</v>
      </c>
      <c r="L240" s="76" t="str">
        <f>IF(M240="","N",STEP!$J$22)</f>
        <v>N</v>
      </c>
      <c r="M240" s="1" t="s">
        <v>11</v>
      </c>
      <c r="N240" s="1" t="s">
        <v>11</v>
      </c>
      <c r="O240" s="1" t="s">
        <v>11</v>
      </c>
      <c r="P240" s="1"/>
      <c r="Q240" s="185">
        <v>19971013</v>
      </c>
      <c r="R240" s="196">
        <v>35716</v>
      </c>
      <c r="S240" s="197">
        <f t="shared" si="300"/>
        <v>299</v>
      </c>
      <c r="T240" s="66">
        <f t="shared" si="301"/>
        <v>25</v>
      </c>
      <c r="U240" s="65" t="s">
        <v>11</v>
      </c>
      <c r="V240" s="70">
        <v>30.3948</v>
      </c>
      <c r="W240" s="74" t="str">
        <f t="shared" si="298"/>
        <v/>
      </c>
      <c r="X240" s="70" t="str" cm="1">
        <f t="array" ref="X240">IF(U240="","",INDEX(STEP!$C:$C,MATCH('Position Control'!M240&amp;'Position Control'!P240,STEP!$A:$A&amp;STEP!$B:$B,0)))</f>
        <v/>
      </c>
      <c r="Y240" s="74" t="str">
        <f t="shared" si="302"/>
        <v/>
      </c>
      <c r="Z240" s="1">
        <v>7520</v>
      </c>
      <c r="AA240" s="112">
        <f>VLOOKUP(Z240,'WRK COMP'!$A$1:$E$17,5,FALSE)</f>
        <v>1.116E-2</v>
      </c>
      <c r="AB240" s="76" t="s">
        <v>13</v>
      </c>
      <c r="AC240" s="68">
        <v>0</v>
      </c>
      <c r="AD240" s="209">
        <v>23.08</v>
      </c>
      <c r="AE240" s="68">
        <v>0</v>
      </c>
      <c r="AF240" s="68">
        <v>0</v>
      </c>
      <c r="AG240" s="68">
        <v>0</v>
      </c>
      <c r="AH240" s="68">
        <v>0</v>
      </c>
      <c r="AI240" s="68">
        <v>0</v>
      </c>
      <c r="AJ240" s="1" t="s">
        <v>14</v>
      </c>
      <c r="AK240" s="1" t="s">
        <v>15</v>
      </c>
      <c r="AL240" s="1" t="s">
        <v>16</v>
      </c>
      <c r="AM240" s="78">
        <f>IF(F240&gt;0.79,IF(ROUNDUP(IF(B240="FS",(V240*HRS!$B$9),(V240*HRS!$L$2))*2,-3)&gt;150000,150000,(ROUNDUP(IF(B240="FS",(V240*HRS!$B$9),(V240*HRS!$L$2))*2,-3))),0)</f>
        <v>127000</v>
      </c>
      <c r="AN240" s="188">
        <f t="shared" si="303"/>
        <v>64423</v>
      </c>
      <c r="AO240" s="77">
        <f>IF(L240="N",IF(B240="FS",ROUNDUP($V240*HRS!$B$9*'Position Control'!F240,0),ROUNDUP('Position Control'!$V240*HRS!$L$2*'Position Control'!F240,0)),IF('Position Control'!B240="FS",ROUNDUP(('Position Control'!V240*HRS!$B$9*'Position Control'!W240*'Position Control'!F240)+('Position Control'!X240*HRS!$B$9*'Position Control'!Y240*'Position Control'!F240),0),ROUNDUP(('Position Control'!V240*HRS!$L$2*'Position Control'!W240*'Position Control'!F240)+('Position Control'!X240*HRS!$L$2*'Position Control'!Y240*'Position Control'!F240),0)))*'Position Control'!H240</f>
        <v>63222</v>
      </c>
      <c r="AP240" s="77">
        <f t="shared" si="304"/>
        <v>0</v>
      </c>
      <c r="AQ240" s="77">
        <f t="shared" si="305"/>
        <v>1201</v>
      </c>
      <c r="AR240" s="77">
        <f t="shared" si="306"/>
        <v>0</v>
      </c>
      <c r="AS240" s="77">
        <v>0</v>
      </c>
      <c r="AT240" s="79">
        <f t="shared" si="307"/>
        <v>0</v>
      </c>
      <c r="AU240" s="77">
        <f t="shared" si="308"/>
        <v>0</v>
      </c>
      <c r="AV240" s="77">
        <v>0</v>
      </c>
      <c r="AW240" s="77">
        <f t="shared" si="309"/>
        <v>0</v>
      </c>
      <c r="AX240" s="77">
        <f t="shared" si="310"/>
        <v>0</v>
      </c>
      <c r="AY240" s="77">
        <f t="shared" si="311"/>
        <v>0</v>
      </c>
      <c r="AZ240" s="77">
        <f t="shared" si="312"/>
        <v>0</v>
      </c>
      <c r="BA240" s="77">
        <f t="shared" si="313"/>
        <v>0</v>
      </c>
      <c r="BB240" s="77">
        <f t="shared" si="314"/>
        <v>0</v>
      </c>
      <c r="BC240" s="77">
        <f t="shared" si="296"/>
        <v>0</v>
      </c>
      <c r="BD240" s="77">
        <f t="shared" ref="BD240:BD241" si="322">IF($S240&gt;=12,IF(($S240*5)&gt;1200,1200,$S240*5),0)*$H240</f>
        <v>1200</v>
      </c>
      <c r="BE240" s="77">
        <v>0</v>
      </c>
      <c r="BF240" s="77">
        <f t="shared" si="315"/>
        <v>152.4</v>
      </c>
      <c r="BG240" s="77">
        <f>VLOOKUP($AJ240,BENE!$I$2:$N$9,6,FALSE)*'Position Control'!$H240</f>
        <v>389</v>
      </c>
      <c r="BH240" s="77">
        <f>VLOOKUP($AK240,BENE!$A$2:$F$19,6,FALSE)*'Position Control'!$H240</f>
        <v>6142</v>
      </c>
      <c r="BI240" s="77">
        <f>VLOOKUP($AK240,BENE!$A$2:$G$19,7,FALSE)*'Position Control'!$H240</f>
        <v>1000</v>
      </c>
      <c r="BJ240" s="77">
        <f>VLOOKUP($AL240,BENE!$P$2:$S$6,4,FALSE)*'Position Control'!$H240</f>
        <v>240</v>
      </c>
      <c r="BK240" s="77">
        <f>IF($F240&gt;HRS!$H$2,ROUNDUP(((($AN240+$BE240)*$BK$3)/12*9)+(($AN240+$BE240)*HRS!$B$10/12*3),0),0)*$H240</f>
        <v>10862</v>
      </c>
      <c r="BL240" s="80">
        <f t="shared" si="316"/>
        <v>719</v>
      </c>
      <c r="BM240" s="77">
        <f t="shared" si="317"/>
        <v>144</v>
      </c>
      <c r="BN240" s="77">
        <f t="shared" si="318"/>
        <v>935</v>
      </c>
      <c r="BO240" s="77">
        <f t="shared" si="319"/>
        <v>116</v>
      </c>
      <c r="BP240" s="77">
        <f t="shared" si="320"/>
        <v>2000</v>
      </c>
      <c r="BQ240" s="77">
        <v>0</v>
      </c>
      <c r="BR240" s="80">
        <f t="shared" si="321"/>
        <v>88322.4</v>
      </c>
    </row>
    <row r="241" spans="1:70" outlineLevel="1" x14ac:dyDescent="0.35">
      <c r="A241" s="1" t="s">
        <v>6</v>
      </c>
      <c r="B241" s="1" t="s">
        <v>7</v>
      </c>
      <c r="C241" s="1" t="s">
        <v>226</v>
      </c>
      <c r="D241" s="1" t="s">
        <v>56</v>
      </c>
      <c r="E241" s="1" t="s">
        <v>63</v>
      </c>
      <c r="F241" s="2">
        <v>1</v>
      </c>
      <c r="G241" s="66">
        <v>1</v>
      </c>
      <c r="H241" s="66">
        <v>1</v>
      </c>
      <c r="I241" s="1" t="s">
        <v>411</v>
      </c>
      <c r="J241" s="1" t="s">
        <v>408</v>
      </c>
      <c r="K241" s="1" t="s">
        <v>237</v>
      </c>
      <c r="L241" s="76" t="str">
        <f>IF(M241="","N",STEP!$J$22)</f>
        <v>N</v>
      </c>
      <c r="M241" s="1" t="s">
        <v>11</v>
      </c>
      <c r="N241" s="1" t="s">
        <v>11</v>
      </c>
      <c r="O241" s="1" t="s">
        <v>11</v>
      </c>
      <c r="P241" s="1"/>
      <c r="Q241" s="185">
        <v>20221002</v>
      </c>
      <c r="R241" s="196">
        <v>44836</v>
      </c>
      <c r="S241" s="197">
        <f t="shared" si="300"/>
        <v>0</v>
      </c>
      <c r="T241" s="66">
        <f t="shared" si="301"/>
        <v>0</v>
      </c>
      <c r="U241" s="65" t="s">
        <v>11</v>
      </c>
      <c r="V241" s="70">
        <v>20.610099999999999</v>
      </c>
      <c r="W241" s="74" t="str">
        <f t="shared" si="298"/>
        <v/>
      </c>
      <c r="X241" s="70" t="str" cm="1">
        <f t="array" ref="X241">IF(U241="","",INDEX(STEP!$C:$C,MATCH('Position Control'!M241&amp;'Position Control'!P241,STEP!$A:$A&amp;STEP!$B:$B,0)))</f>
        <v/>
      </c>
      <c r="Y241" s="74" t="str">
        <f t="shared" si="302"/>
        <v/>
      </c>
      <c r="Z241" s="1">
        <v>7520</v>
      </c>
      <c r="AA241" s="112">
        <f>VLOOKUP(Z241,'WRK COMP'!$A$1:$E$17,5,FALSE)</f>
        <v>1.116E-2</v>
      </c>
      <c r="AB241" s="76" t="s">
        <v>13</v>
      </c>
      <c r="AC241" s="68">
        <v>0</v>
      </c>
      <c r="AD241" s="68">
        <v>0</v>
      </c>
      <c r="AE241" s="68">
        <v>0</v>
      </c>
      <c r="AF241" s="68">
        <v>0</v>
      </c>
      <c r="AG241" s="68">
        <v>0</v>
      </c>
      <c r="AH241" s="68">
        <v>0</v>
      </c>
      <c r="AI241" s="68">
        <v>0</v>
      </c>
      <c r="AJ241" s="1" t="s">
        <v>14</v>
      </c>
      <c r="AK241" s="1" t="s">
        <v>15</v>
      </c>
      <c r="AL241" s="1" t="s">
        <v>16</v>
      </c>
      <c r="AM241" s="78">
        <f>IF(F241&gt;0.79,IF(ROUNDUP(IF(B241="FS",(V241*HRS!$B$9),(V241*HRS!$L$2))*2,-3)&gt;150000,150000,(ROUNDUP(IF(B241="FS",(V241*HRS!$B$9),(V241*HRS!$L$2))*2,-3))),0)</f>
        <v>86000</v>
      </c>
      <c r="AN241" s="188">
        <f t="shared" si="303"/>
        <v>42870</v>
      </c>
      <c r="AO241" s="77">
        <f>IF(L241="N",IF(B241="FS",ROUNDUP($V241*HRS!$B$9*'Position Control'!F241,0),ROUNDUP('Position Control'!$V241*HRS!$L$2*'Position Control'!F241,0)),IF('Position Control'!B241="FS",ROUNDUP(('Position Control'!V241*HRS!$B$9*'Position Control'!W241*'Position Control'!F241)+('Position Control'!X241*HRS!$B$9*'Position Control'!Y241*'Position Control'!F241),0),ROUNDUP(('Position Control'!V241*HRS!$L$2*'Position Control'!W241*'Position Control'!F241)+('Position Control'!X241*HRS!$L$2*'Position Control'!Y241*'Position Control'!F241),0)))*'Position Control'!H241</f>
        <v>42870</v>
      </c>
      <c r="AP241" s="77">
        <f t="shared" si="304"/>
        <v>0</v>
      </c>
      <c r="AQ241" s="77">
        <f t="shared" si="305"/>
        <v>0</v>
      </c>
      <c r="AR241" s="77">
        <f t="shared" si="306"/>
        <v>0</v>
      </c>
      <c r="AS241" s="77">
        <v>0</v>
      </c>
      <c r="AT241" s="79">
        <f t="shared" si="307"/>
        <v>0</v>
      </c>
      <c r="AU241" s="77">
        <f t="shared" si="308"/>
        <v>0</v>
      </c>
      <c r="AV241" s="77">
        <v>0</v>
      </c>
      <c r="AW241" s="77">
        <f t="shared" si="309"/>
        <v>0</v>
      </c>
      <c r="AX241" s="77">
        <f t="shared" si="310"/>
        <v>0</v>
      </c>
      <c r="AY241" s="77">
        <f t="shared" si="311"/>
        <v>0</v>
      </c>
      <c r="AZ241" s="77">
        <f t="shared" si="312"/>
        <v>0</v>
      </c>
      <c r="BA241" s="77">
        <f t="shared" si="313"/>
        <v>0</v>
      </c>
      <c r="BB241" s="77">
        <f t="shared" si="314"/>
        <v>0</v>
      </c>
      <c r="BC241" s="77">
        <f t="shared" si="296"/>
        <v>0</v>
      </c>
      <c r="BD241" s="77">
        <f t="shared" si="322"/>
        <v>0</v>
      </c>
      <c r="BE241" s="77">
        <v>0</v>
      </c>
      <c r="BF241" s="77">
        <f t="shared" si="315"/>
        <v>103.19999999999999</v>
      </c>
      <c r="BG241" s="77">
        <f>VLOOKUP($AJ241,BENE!$I$2:$N$9,6,FALSE)*'Position Control'!$H241</f>
        <v>389</v>
      </c>
      <c r="BH241" s="77">
        <f>VLOOKUP($AK241,BENE!$A$2:$F$19,6,FALSE)*'Position Control'!$H241</f>
        <v>6142</v>
      </c>
      <c r="BI241" s="77">
        <f>VLOOKUP($AK241,BENE!$A$2:$G$19,7,FALSE)*'Position Control'!$H241</f>
        <v>1000</v>
      </c>
      <c r="BJ241" s="77">
        <f>VLOOKUP($AL241,BENE!$P$2:$S$6,4,FALSE)*'Position Control'!$H241</f>
        <v>240</v>
      </c>
      <c r="BK241" s="77">
        <f>IF($F241&gt;HRS!$H$2,ROUNDUP(((($AN241+$BE241)*$BK$3)/12*9)+(($AN241+$BE241)*HRS!$B$10/12*3),0),0)*$H241</f>
        <v>7228</v>
      </c>
      <c r="BL241" s="80">
        <f t="shared" si="316"/>
        <v>479</v>
      </c>
      <c r="BM241" s="77">
        <f t="shared" si="317"/>
        <v>144</v>
      </c>
      <c r="BN241" s="77">
        <f t="shared" si="318"/>
        <v>622</v>
      </c>
      <c r="BO241" s="77">
        <f t="shared" si="319"/>
        <v>77</v>
      </c>
      <c r="BP241" s="77">
        <f t="shared" si="320"/>
        <v>0</v>
      </c>
      <c r="BQ241" s="77">
        <v>0</v>
      </c>
      <c r="BR241" s="80">
        <f t="shared" si="321"/>
        <v>59294.2</v>
      </c>
    </row>
    <row r="242" spans="1:70" outlineLevel="1" x14ac:dyDescent="0.35">
      <c r="A242" s="1" t="s">
        <v>6</v>
      </c>
      <c r="B242" s="1" t="s">
        <v>7</v>
      </c>
      <c r="C242" s="1" t="s">
        <v>226</v>
      </c>
      <c r="D242" s="1" t="s">
        <v>56</v>
      </c>
      <c r="E242" s="1" t="s">
        <v>63</v>
      </c>
      <c r="F242" s="2">
        <v>1</v>
      </c>
      <c r="G242" s="66">
        <v>1</v>
      </c>
      <c r="H242" s="66">
        <v>1</v>
      </c>
      <c r="I242" s="1" t="s">
        <v>411</v>
      </c>
      <c r="J242" s="1" t="s">
        <v>408</v>
      </c>
      <c r="K242" s="1" t="s">
        <v>236</v>
      </c>
      <c r="L242" s="76" t="str">
        <f>IF(M242="","N",STEP!$J$22)</f>
        <v>N</v>
      </c>
      <c r="M242" s="1" t="s">
        <v>11</v>
      </c>
      <c r="N242" s="1" t="s">
        <v>11</v>
      </c>
      <c r="O242" s="1" t="s">
        <v>11</v>
      </c>
      <c r="P242" s="1"/>
      <c r="Q242" s="185">
        <v>20221002</v>
      </c>
      <c r="R242" s="196">
        <v>44836</v>
      </c>
      <c r="S242" s="197">
        <f t="shared" si="300"/>
        <v>0</v>
      </c>
      <c r="T242" s="66">
        <f t="shared" si="301"/>
        <v>0</v>
      </c>
      <c r="U242" s="65" t="s">
        <v>11</v>
      </c>
      <c r="V242" s="70">
        <v>20.610099999999999</v>
      </c>
      <c r="W242" s="74" t="str">
        <f t="shared" si="298"/>
        <v/>
      </c>
      <c r="X242" s="70" t="str" cm="1">
        <f t="array" ref="X242">IF(U242="","",INDEX(STEP!$C:$C,MATCH('Position Control'!M242&amp;'Position Control'!P242,STEP!$A:$A&amp;STEP!$B:$B,0)))</f>
        <v/>
      </c>
      <c r="Y242" s="74" t="str">
        <f t="shared" si="302"/>
        <v/>
      </c>
      <c r="Z242" s="1">
        <v>7520</v>
      </c>
      <c r="AA242" s="112">
        <f>VLOOKUP(Z242,'WRK COMP'!$A$1:$E$17,5,FALSE)</f>
        <v>1.116E-2</v>
      </c>
      <c r="AB242" s="76" t="s">
        <v>13</v>
      </c>
      <c r="AC242" s="68">
        <v>0</v>
      </c>
      <c r="AD242" s="68">
        <v>0</v>
      </c>
      <c r="AE242" s="68">
        <v>0</v>
      </c>
      <c r="AF242" s="68">
        <v>0</v>
      </c>
      <c r="AG242" s="68">
        <v>0</v>
      </c>
      <c r="AH242" s="68">
        <v>0</v>
      </c>
      <c r="AI242" s="68">
        <v>0</v>
      </c>
      <c r="AJ242" s="1" t="s">
        <v>14</v>
      </c>
      <c r="AK242" s="1" t="s">
        <v>32</v>
      </c>
      <c r="AL242" s="1" t="s">
        <v>16</v>
      </c>
      <c r="AM242" s="78">
        <f>IF(F242&gt;0.79,IF(ROUNDUP(IF(B242="FS",(V242*HRS!$B$9),(V242*HRS!$L$2))*2,-3)&gt;150000,150000,(ROUNDUP(IF(B242="FS",(V242*HRS!$B$9),(V242*HRS!$L$2))*2,-3))),0)</f>
        <v>86000</v>
      </c>
      <c r="AN242" s="188">
        <f t="shared" si="303"/>
        <v>42870</v>
      </c>
      <c r="AO242" s="77">
        <f>IF(L242="N",IF(B242="FS",ROUNDUP($V242*HRS!$B$9*'Position Control'!F242,0),ROUNDUP('Position Control'!$V242*HRS!$L$2*'Position Control'!F242,0)),IF('Position Control'!B242="FS",ROUNDUP(('Position Control'!V242*HRS!$B$9*'Position Control'!W242*'Position Control'!F242)+('Position Control'!X242*HRS!$B$9*'Position Control'!Y242*'Position Control'!F242),0),ROUNDUP(('Position Control'!V242*HRS!$L$2*'Position Control'!W242*'Position Control'!F242)+('Position Control'!X242*HRS!$L$2*'Position Control'!Y242*'Position Control'!F242),0)))*'Position Control'!H242</f>
        <v>42870</v>
      </c>
      <c r="AP242" s="77">
        <f t="shared" si="304"/>
        <v>0</v>
      </c>
      <c r="AQ242" s="77">
        <f t="shared" si="305"/>
        <v>0</v>
      </c>
      <c r="AR242" s="77">
        <f t="shared" si="306"/>
        <v>0</v>
      </c>
      <c r="AS242" s="77">
        <v>0</v>
      </c>
      <c r="AT242" s="79">
        <f t="shared" si="307"/>
        <v>0</v>
      </c>
      <c r="AU242" s="77">
        <f t="shared" si="308"/>
        <v>0</v>
      </c>
      <c r="AV242" s="77">
        <v>0</v>
      </c>
      <c r="AW242" s="77">
        <f t="shared" si="309"/>
        <v>0</v>
      </c>
      <c r="AX242" s="77">
        <f t="shared" si="310"/>
        <v>0</v>
      </c>
      <c r="AY242" s="77">
        <f t="shared" si="311"/>
        <v>0</v>
      </c>
      <c r="AZ242" s="77">
        <f t="shared" si="312"/>
        <v>0</v>
      </c>
      <c r="BA242" s="77">
        <f t="shared" si="313"/>
        <v>0</v>
      </c>
      <c r="BB242" s="77">
        <f t="shared" si="314"/>
        <v>0</v>
      </c>
      <c r="BC242" s="77">
        <f t="shared" si="296"/>
        <v>0</v>
      </c>
      <c r="BD242" s="77">
        <f>IF($S242&gt;=12,IF(($S242*5)&gt;1200,1200,$S242*5),0)*$H242</f>
        <v>0</v>
      </c>
      <c r="BE242" s="77">
        <v>0</v>
      </c>
      <c r="BF242" s="77">
        <f t="shared" si="315"/>
        <v>103.19999999999999</v>
      </c>
      <c r="BG242" s="77">
        <f>VLOOKUP($AJ242,BENE!$I$2:$N$9,6,FALSE)*'Position Control'!$H242</f>
        <v>389</v>
      </c>
      <c r="BH242" s="77">
        <f>VLOOKUP($AK242,BENE!$A$2:$F$19,6,FALSE)*'Position Control'!$H242</f>
        <v>6273</v>
      </c>
      <c r="BI242" s="77">
        <f>VLOOKUP($AK242,BENE!$A$2:$G$19,7,FALSE)*'Position Control'!$H242</f>
        <v>1000</v>
      </c>
      <c r="BJ242" s="77">
        <f>VLOOKUP($AL242,BENE!$P$2:$S$6,4,FALSE)*'Position Control'!$H242</f>
        <v>240</v>
      </c>
      <c r="BK242" s="77">
        <f>IF($F242&gt;HRS!$H$2,ROUNDUP(((($AN242+$BE242)*$BK$3)/12*9)+(($AN242+$BE242)*HRS!$B$10/12*3),0),0)*$H242</f>
        <v>7228</v>
      </c>
      <c r="BL242" s="80">
        <f t="shared" si="316"/>
        <v>479</v>
      </c>
      <c r="BM242" s="77">
        <f t="shared" si="317"/>
        <v>144</v>
      </c>
      <c r="BN242" s="77">
        <f t="shared" si="318"/>
        <v>622</v>
      </c>
      <c r="BO242" s="77">
        <f t="shared" si="319"/>
        <v>77</v>
      </c>
      <c r="BP242" s="77">
        <f t="shared" si="320"/>
        <v>0</v>
      </c>
      <c r="BQ242" s="77">
        <v>0</v>
      </c>
      <c r="BR242" s="80">
        <f t="shared" si="321"/>
        <v>59425.2</v>
      </c>
    </row>
    <row r="243" spans="1:70" outlineLevel="1" x14ac:dyDescent="0.35">
      <c r="A243" s="1" t="s">
        <v>6</v>
      </c>
      <c r="B243" s="1" t="s">
        <v>7</v>
      </c>
      <c r="C243" s="1" t="s">
        <v>226</v>
      </c>
      <c r="D243" s="1" t="s">
        <v>56</v>
      </c>
      <c r="E243" s="1" t="s">
        <v>63</v>
      </c>
      <c r="F243" s="2">
        <v>1</v>
      </c>
      <c r="G243" s="66">
        <v>0</v>
      </c>
      <c r="H243" s="66">
        <v>1</v>
      </c>
      <c r="I243" s="10" t="s">
        <v>409</v>
      </c>
      <c r="J243" s="10" t="s">
        <v>410</v>
      </c>
      <c r="K243" s="1"/>
      <c r="L243" s="76" t="str">
        <f>IF(M243="","N",STEP!$J$22)</f>
        <v>N</v>
      </c>
      <c r="M243" s="1"/>
      <c r="N243" s="1"/>
      <c r="O243" s="1"/>
      <c r="P243" s="1"/>
      <c r="Q243" s="185">
        <v>20221001</v>
      </c>
      <c r="R243" s="196">
        <v>44836</v>
      </c>
      <c r="S243" s="197">
        <f t="shared" si="300"/>
        <v>0</v>
      </c>
      <c r="T243" s="66">
        <f t="shared" si="301"/>
        <v>0</v>
      </c>
      <c r="U243" s="1"/>
      <c r="V243" s="70">
        <v>0</v>
      </c>
      <c r="W243" s="74"/>
      <c r="X243" s="70"/>
      <c r="Y243" s="74"/>
      <c r="Z243" s="1">
        <v>7520</v>
      </c>
      <c r="AA243" s="112">
        <f>VLOOKUP(Z243,'WRK COMP'!$A$1:$E$17,5,FALSE)</f>
        <v>1.116E-2</v>
      </c>
      <c r="AB243" s="76" t="s">
        <v>13</v>
      </c>
      <c r="AC243" s="68">
        <v>0</v>
      </c>
      <c r="AD243" s="68">
        <v>0</v>
      </c>
      <c r="AE243" s="68">
        <v>0</v>
      </c>
      <c r="AF243" s="68">
        <v>0</v>
      </c>
      <c r="AG243" s="68">
        <v>0</v>
      </c>
      <c r="AH243" s="68">
        <v>0</v>
      </c>
      <c r="AI243" s="68">
        <v>0</v>
      </c>
      <c r="AJ243" s="10" t="s">
        <v>49</v>
      </c>
      <c r="AK243" s="10" t="s">
        <v>49</v>
      </c>
      <c r="AL243" s="10" t="s">
        <v>49</v>
      </c>
      <c r="AM243" s="78">
        <f>IF(F243&gt;0.79,IF(ROUNDUP(IF(B243="FS",(V243*HRS!$B$9),(V243*HRS!$L$2))*2,-3)&gt;150000,150000,(ROUNDUP(IF(B243="FS",(V243*HRS!$B$9),(V243*HRS!$L$2))*2,-3))),0)</f>
        <v>0</v>
      </c>
      <c r="AN243" s="188">
        <f t="shared" si="303"/>
        <v>10050</v>
      </c>
      <c r="AO243" s="77">
        <f>IF(L243="N",IF(B243="FS",ROUNDUP($V243*HRS!$B$9*'Position Control'!F243,0),ROUNDUP('Position Control'!$V243*HRS!$L$2*'Position Control'!F243,0)),IF('Position Control'!B243="FS",ROUNDUP(('Position Control'!V243*HRS!$B$9*'Position Control'!W243*'Position Control'!F243)+('Position Control'!X243*HRS!$B$9*'Position Control'!Y243*'Position Control'!F243),0),ROUNDUP(('Position Control'!V243*HRS!$L$2*'Position Control'!W243*'Position Control'!F243)+('Position Control'!X243*HRS!$L$2*'Position Control'!Y243*'Position Control'!F243),0)))*'Position Control'!H243</f>
        <v>0</v>
      </c>
      <c r="AP243" s="77">
        <f t="shared" si="304"/>
        <v>0</v>
      </c>
      <c r="AQ243" s="77">
        <f t="shared" si="305"/>
        <v>0</v>
      </c>
      <c r="AR243" s="77">
        <f t="shared" si="306"/>
        <v>0</v>
      </c>
      <c r="AS243" s="77">
        <v>0</v>
      </c>
      <c r="AT243" s="79">
        <f t="shared" si="307"/>
        <v>0</v>
      </c>
      <c r="AU243" s="77">
        <f t="shared" si="308"/>
        <v>0</v>
      </c>
      <c r="AV243" s="77">
        <f>'DIVISION BUDGETS'!C33</f>
        <v>10050</v>
      </c>
      <c r="AW243" s="77">
        <f t="shared" si="309"/>
        <v>0</v>
      </c>
      <c r="AX243" s="77">
        <f t="shared" si="310"/>
        <v>0</v>
      </c>
      <c r="AY243" s="77">
        <f t="shared" si="311"/>
        <v>0</v>
      </c>
      <c r="AZ243" s="77">
        <f t="shared" si="312"/>
        <v>0</v>
      </c>
      <c r="BA243" s="77">
        <f t="shared" si="313"/>
        <v>0</v>
      </c>
      <c r="BB243" s="77">
        <f t="shared" si="314"/>
        <v>0</v>
      </c>
      <c r="BC243" s="77">
        <f t="shared" si="296"/>
        <v>0</v>
      </c>
      <c r="BD243" s="77">
        <f>IF($S243&gt;=12,IF(($S243*5)&gt;1200,1200,$S243*5),0)*$H243</f>
        <v>0</v>
      </c>
      <c r="BE243" s="77">
        <f>'DIVISION BUDGETS'!D33</f>
        <v>45000</v>
      </c>
      <c r="BF243" s="77">
        <f t="shared" si="315"/>
        <v>0</v>
      </c>
      <c r="BG243" s="77">
        <f>VLOOKUP($AJ243,BENE!$I$2:$N$9,6,FALSE)*'Position Control'!$H243</f>
        <v>0</v>
      </c>
      <c r="BH243" s="77">
        <f>VLOOKUP($AK243,BENE!$A$2:$F$19,6,FALSE)*'Position Control'!$H243</f>
        <v>0</v>
      </c>
      <c r="BI243" s="77">
        <f>VLOOKUP($AK243,BENE!$A$2:$G$19,7,FALSE)*'Position Control'!$H243</f>
        <v>0</v>
      </c>
      <c r="BJ243" s="77">
        <f>VLOOKUP($AL243,BENE!$P$2:$S$6,4,FALSE)*'Position Control'!$H243</f>
        <v>0</v>
      </c>
      <c r="BK243" s="77">
        <f>IF($F243&gt;HRS!$H$2,ROUNDUP(((($AN243+$BE243)*$BK$3)/12*9)+(($AN243+$BE243)*HRS!$B$10/12*3),0),0)*$H243</f>
        <v>9282</v>
      </c>
      <c r="BL243" s="80">
        <f t="shared" si="316"/>
        <v>113</v>
      </c>
      <c r="BM243" s="77">
        <f t="shared" si="317"/>
        <v>144</v>
      </c>
      <c r="BN243" s="77">
        <f t="shared" si="318"/>
        <v>146</v>
      </c>
      <c r="BO243" s="77">
        <f t="shared" si="319"/>
        <v>18</v>
      </c>
      <c r="BP243" s="77">
        <f t="shared" si="320"/>
        <v>0</v>
      </c>
      <c r="BQ243" s="77">
        <f>'DIVISION BUDGETS'!G33</f>
        <v>140</v>
      </c>
      <c r="BR243" s="80">
        <f t="shared" si="321"/>
        <v>64893</v>
      </c>
    </row>
    <row r="244" spans="1:70" s="171" customFormat="1" x14ac:dyDescent="0.35">
      <c r="A244" s="161"/>
      <c r="B244" s="161"/>
      <c r="C244" s="161"/>
      <c r="D244" s="161"/>
      <c r="E244" s="161"/>
      <c r="F244" s="162"/>
      <c r="G244" s="163">
        <f>SUBTOTAL(9,G235:G243)</f>
        <v>7.5</v>
      </c>
      <c r="H244" s="163"/>
      <c r="I244" s="161" t="s">
        <v>565</v>
      </c>
      <c r="J244" s="161"/>
      <c r="K244" s="161"/>
      <c r="L244" s="164"/>
      <c r="M244" s="161"/>
      <c r="N244" s="161"/>
      <c r="O244" s="161"/>
      <c r="P244" s="161"/>
      <c r="Q244" s="186"/>
      <c r="R244" s="200"/>
      <c r="S244" s="208"/>
      <c r="T244" s="163"/>
      <c r="U244" s="161"/>
      <c r="V244" s="165"/>
      <c r="W244" s="166"/>
      <c r="X244" s="165"/>
      <c r="Y244" s="166"/>
      <c r="Z244" s="161"/>
      <c r="AA244" s="167"/>
      <c r="AB244" s="164"/>
      <c r="AC244" s="168"/>
      <c r="AD244" s="168"/>
      <c r="AE244" s="168"/>
      <c r="AF244" s="168"/>
      <c r="AG244" s="168"/>
      <c r="AH244" s="168"/>
      <c r="AI244" s="168"/>
      <c r="AJ244" s="161"/>
      <c r="AK244" s="161"/>
      <c r="AL244" s="161"/>
      <c r="AM244" s="169"/>
      <c r="AN244" s="189">
        <f t="shared" ref="AN244:BR244" si="323">SUBTOTAL(9,AN235:AN243)</f>
        <v>421328.5</v>
      </c>
      <c r="AO244" s="170">
        <f t="shared" si="323"/>
        <v>405573.5</v>
      </c>
      <c r="AP244" s="170">
        <f t="shared" si="323"/>
        <v>0</v>
      </c>
      <c r="AQ244" s="170">
        <f t="shared" si="323"/>
        <v>5405</v>
      </c>
      <c r="AR244" s="170">
        <f t="shared" si="323"/>
        <v>0</v>
      </c>
      <c r="AS244" s="170">
        <f t="shared" si="323"/>
        <v>0</v>
      </c>
      <c r="AT244" s="170">
        <f t="shared" si="323"/>
        <v>0</v>
      </c>
      <c r="AU244" s="170">
        <f t="shared" si="323"/>
        <v>300</v>
      </c>
      <c r="AV244" s="170">
        <f t="shared" si="323"/>
        <v>10050</v>
      </c>
      <c r="AW244" s="170">
        <f t="shared" si="323"/>
        <v>0</v>
      </c>
      <c r="AX244" s="170">
        <f t="shared" si="323"/>
        <v>0</v>
      </c>
      <c r="AY244" s="170">
        <f t="shared" si="323"/>
        <v>0</v>
      </c>
      <c r="AZ244" s="170">
        <f t="shared" si="323"/>
        <v>0</v>
      </c>
      <c r="BA244" s="170">
        <f t="shared" si="323"/>
        <v>0</v>
      </c>
      <c r="BB244" s="170">
        <f t="shared" si="323"/>
        <v>0</v>
      </c>
      <c r="BC244" s="170">
        <f t="shared" si="323"/>
        <v>0</v>
      </c>
      <c r="BD244" s="170">
        <f t="shared" si="323"/>
        <v>3010</v>
      </c>
      <c r="BE244" s="170">
        <f t="shared" si="323"/>
        <v>45000</v>
      </c>
      <c r="BF244" s="170">
        <f t="shared" si="323"/>
        <v>957.59999999999991</v>
      </c>
      <c r="BG244" s="170">
        <f t="shared" si="323"/>
        <v>2779.5</v>
      </c>
      <c r="BH244" s="170">
        <f t="shared" si="323"/>
        <v>46985</v>
      </c>
      <c r="BI244" s="170">
        <f t="shared" si="323"/>
        <v>5000</v>
      </c>
      <c r="BJ244" s="170">
        <f t="shared" si="323"/>
        <v>1512</v>
      </c>
      <c r="BK244" s="170">
        <f t="shared" si="323"/>
        <v>74597</v>
      </c>
      <c r="BL244" s="170">
        <f t="shared" si="323"/>
        <v>4440</v>
      </c>
      <c r="BM244" s="170">
        <f t="shared" si="323"/>
        <v>1224</v>
      </c>
      <c r="BN244" s="170">
        <f t="shared" si="323"/>
        <v>5767</v>
      </c>
      <c r="BO244" s="170">
        <f t="shared" si="323"/>
        <v>716</v>
      </c>
      <c r="BP244" s="170">
        <f t="shared" si="323"/>
        <v>4500</v>
      </c>
      <c r="BQ244" s="170">
        <f t="shared" si="323"/>
        <v>140</v>
      </c>
      <c r="BR244" s="170">
        <f t="shared" si="323"/>
        <v>617956.6</v>
      </c>
    </row>
    <row r="245" spans="1:70" outlineLevel="1" x14ac:dyDescent="0.35">
      <c r="A245" s="1" t="s">
        <v>6</v>
      </c>
      <c r="B245" s="1" t="s">
        <v>7</v>
      </c>
      <c r="C245" s="1" t="s">
        <v>226</v>
      </c>
      <c r="D245" s="1" t="s">
        <v>56</v>
      </c>
      <c r="E245" s="1" t="s">
        <v>140</v>
      </c>
      <c r="F245" s="2">
        <v>1</v>
      </c>
      <c r="G245" s="66">
        <v>0.5</v>
      </c>
      <c r="H245" s="66">
        <v>0.5</v>
      </c>
      <c r="I245" s="1" t="s">
        <v>611</v>
      </c>
      <c r="J245" s="1" t="s">
        <v>612</v>
      </c>
      <c r="K245" s="1" t="s">
        <v>233</v>
      </c>
      <c r="L245" s="76" t="str">
        <f>IF(M245="","N",STEP!$J$22)</f>
        <v>N</v>
      </c>
      <c r="M245" s="1" t="s">
        <v>11</v>
      </c>
      <c r="N245" s="1" t="s">
        <v>11</v>
      </c>
      <c r="O245" s="1" t="s">
        <v>11</v>
      </c>
      <c r="P245" s="1"/>
      <c r="Q245" s="185">
        <v>20211122</v>
      </c>
      <c r="R245" s="196">
        <v>44522</v>
      </c>
      <c r="S245" s="197">
        <f t="shared" ref="S245:S250" si="324">IF(A245="FT",IF(R245&gt;$S$1,0,(DATEDIF(R245,$S$1,"M"))),0)</f>
        <v>10</v>
      </c>
      <c r="T245" s="66">
        <f t="shared" ref="T245:T250" si="325">ROUNDDOWN(IF(A245="FT",DATEDIF(R245,$T$1,"y"),0),0)</f>
        <v>1</v>
      </c>
      <c r="U245" s="65" t="s">
        <v>11</v>
      </c>
      <c r="V245" s="70">
        <v>44.230800000000002</v>
      </c>
      <c r="W245" s="74" t="str">
        <f t="shared" si="298"/>
        <v/>
      </c>
      <c r="X245" s="70" t="str" cm="1">
        <f t="array" ref="X245">IF(U245="","",INDEX(STEP!$C:$C,MATCH('Position Control'!M245&amp;'Position Control'!P245,STEP!$A:$A&amp;STEP!$B:$B,0)))</f>
        <v/>
      </c>
      <c r="Y245" s="74" t="str">
        <f>IF(L245="Y",(20221001-U245)/10000,"")</f>
        <v/>
      </c>
      <c r="Z245" s="1">
        <v>7520</v>
      </c>
      <c r="AA245" s="112">
        <f>VLOOKUP(Z245,'WRK COMP'!$A$1:$E$17,5,FALSE)</f>
        <v>1.116E-2</v>
      </c>
      <c r="AB245" s="76" t="s">
        <v>13</v>
      </c>
      <c r="AC245" s="68">
        <v>0</v>
      </c>
      <c r="AD245" s="68">
        <v>57.68</v>
      </c>
      <c r="AE245" s="68">
        <v>0</v>
      </c>
      <c r="AF245" s="68">
        <v>0</v>
      </c>
      <c r="AG245" s="68">
        <v>0</v>
      </c>
      <c r="AH245" s="68">
        <v>12.5</v>
      </c>
      <c r="AI245" s="68">
        <v>0</v>
      </c>
      <c r="AJ245" s="1" t="s">
        <v>61</v>
      </c>
      <c r="AK245" s="1" t="s">
        <v>78</v>
      </c>
      <c r="AL245" s="10" t="s">
        <v>49</v>
      </c>
      <c r="AM245" s="78">
        <f>IF(F245&gt;0.79,IF(ROUNDUP(IF(B245="FS",(V245*HRS!$B$9),(V245*HRS!$L$2))*2,-3)&gt;150000,150000,(ROUNDUP(IF(B245="FS",(V245*HRS!$B$9),(V245*HRS!$L$2))*2,-3))),0)</f>
        <v>150000</v>
      </c>
      <c r="AN245" s="188">
        <f t="shared" ref="AN245:AN250" si="326">SUM(AO245:BB245)</f>
        <v>47800.5</v>
      </c>
      <c r="AO245" s="77">
        <f>IF(L245="N",IF(B245="FS",ROUNDUP($V245*HRS!$B$9*'Position Control'!F245,0),ROUNDUP('Position Control'!$V245*HRS!$L$2*'Position Control'!F245,0)),IF('Position Control'!B245="FS",ROUNDUP(('Position Control'!V245*HRS!$B$9*'Position Control'!W245*'Position Control'!F245)+('Position Control'!X245*HRS!$B$9*'Position Control'!Y245*'Position Control'!F245),0),ROUNDUP(('Position Control'!V245*HRS!$L$2*'Position Control'!W245*'Position Control'!F245)+('Position Control'!X245*HRS!$L$2*'Position Control'!Y245*'Position Control'!F245),0)))*'Position Control'!H245</f>
        <v>46000.5</v>
      </c>
      <c r="AP245" s="77">
        <f t="shared" ref="AP245:AP250" si="327">ROUNDUP(52*AC245,0)*H245</f>
        <v>0</v>
      </c>
      <c r="AQ245" s="77">
        <f t="shared" ref="AQ245:AQ250" si="328">IF(B245="FS",ROUNDUP(24*AD245,0),IF(B245="POL",ROUNDUP(26*AD245,0),ROUNDUP(52*AD245,0)))*$H245</f>
        <v>1500</v>
      </c>
      <c r="AR245" s="77">
        <f t="shared" ref="AR245:AR250" si="329">IF(B245="FS",ROUNDUP(AG245*24,0),ROUNDUP(52*AG245,0))*H245</f>
        <v>0</v>
      </c>
      <c r="AS245" s="77">
        <v>0</v>
      </c>
      <c r="AT245" s="79">
        <f t="shared" ref="AT245:AT250" si="330">ROUNDUP(26*AF245,0)*H245</f>
        <v>0</v>
      </c>
      <c r="AU245" s="77">
        <f t="shared" ref="AU245:AU250" si="331">IF(B245="FS",ROUNDUP(24*AH245,0),IF(B245="POL",ROUNDUP(26*AH245,0),ROUNDUP(48*AH245,0)))*$H245</f>
        <v>300</v>
      </c>
      <c r="AV245" s="77">
        <v>0</v>
      </c>
      <c r="AW245" s="77">
        <f t="shared" ref="AW245:AW250" si="332">IF(B245="FS",ROUNDUP(24*AE245,0),IF(B245="POL",ROUNDUP(26*AE245,0),ROUNDUP(52*AE245,0)))*$H245</f>
        <v>0</v>
      </c>
      <c r="AX245" s="77">
        <f t="shared" ref="AX245:AX250" si="333">IF(AND(Q245&lt;20220401,A245&lt;&gt;"SP"),($AX$3*(AO245+BE245)),0)</f>
        <v>0</v>
      </c>
      <c r="AY245" s="77">
        <f t="shared" ref="AY245:AY250" si="334">IF(AND($L245="N",$Q245&lt;20220401,$A245&lt;&gt;"SP",$AO245&lt;100000),($AY$3*($AO245+$BE245)),0)</f>
        <v>0</v>
      </c>
      <c r="AZ245" s="77">
        <f t="shared" ref="AZ245:AZ250" si="335">IF(AND($L245="N",$Q245&lt;20220401,$A245&lt;&gt;"SP",$AO245&gt;100000),($AZ$3*($AO245+$BE245)),0)</f>
        <v>0</v>
      </c>
      <c r="BA245" s="77">
        <f t="shared" ref="BA245:BA250" si="336">IF(AND($L245="N",$Q245&lt;20220401,$A245&lt;&gt;"SP"),($BA$3*($AO245+$BE245)),0)</f>
        <v>0</v>
      </c>
      <c r="BB245" s="77">
        <f t="shared" ref="BB245:BB250" si="337">IF(AND($L245="Y",$Q245&lt;20220401,$A245&lt;&gt;"SP"),($BB$3*($AO245+$BE245)),0)</f>
        <v>0</v>
      </c>
      <c r="BC245" s="77">
        <f t="shared" si="296"/>
        <v>0</v>
      </c>
      <c r="BD245" s="77">
        <f t="shared" ref="BD245:BD250" si="338">IF($S245&gt;=12,IF(($S245*5)&gt;1200,1200,$S245*5),0)*$H245</f>
        <v>0</v>
      </c>
      <c r="BE245" s="77">
        <v>0</v>
      </c>
      <c r="BF245" s="77">
        <f t="shared" ref="BF245:BF250" si="339">$AM245*$BF$3*12*$H245</f>
        <v>90</v>
      </c>
      <c r="BG245" s="77">
        <f>VLOOKUP($AJ245,BENE!$I$2:$N$9,6,FALSE)*'Position Control'!$H245</f>
        <v>155.5</v>
      </c>
      <c r="BH245" s="77">
        <f>VLOOKUP($AK245,BENE!$A$2:$F$19,6,FALSE)*'Position Control'!$H245</f>
        <v>9012</v>
      </c>
      <c r="BI245" s="77">
        <f>VLOOKUP($AK245,BENE!$A$2:$G$19,7,FALSE)*'Position Control'!$H245</f>
        <v>0</v>
      </c>
      <c r="BJ245" s="77">
        <f>VLOOKUP($AL245,BENE!$P$2:$S$6,4,FALSE)*'Position Control'!$H245</f>
        <v>0</v>
      </c>
      <c r="BK245" s="77">
        <f>IF($F245&gt;HRS!$H$2,ROUNDUP(((($AN245+$BE245)*$BK$3)/12*9)+(($AN245+$BE245)*HRS!$B$10/12*3),0),0)*$H245</f>
        <v>4030</v>
      </c>
      <c r="BL245" s="80">
        <f t="shared" ref="BL245:BL250" si="340">ROUNDUP($AN245*$AA245,0)*$H245</f>
        <v>267</v>
      </c>
      <c r="BM245" s="77">
        <f t="shared" ref="BM245:BM250" si="341">ROUNDUP(IF($AN245&gt;9000,$BM$3*9000,$BM$3*$AN245),0)*$H245</f>
        <v>72</v>
      </c>
      <c r="BN245" s="77">
        <f t="shared" ref="BN245:BN250" si="342">IF($AB245="Y",ROUNDUP($AN245*$BN$3,0),0)*$H245</f>
        <v>347</v>
      </c>
      <c r="BO245" s="77">
        <f t="shared" ref="BO245:BO250" si="343">IF($A245&lt;&gt;"SP",ROUND($BO$3*$AN245,0)*$H245,0)</f>
        <v>43</v>
      </c>
      <c r="BP245" s="77">
        <f t="shared" ref="BP245:BP250" si="344">IF($T245&gt;24,2000,IF($T245&gt;19,1750,IF($T245&gt;14,1500,IF($T245&gt;9.9999999999999,1000,0))))*$H245</f>
        <v>0</v>
      </c>
      <c r="BQ245" s="77">
        <v>0</v>
      </c>
      <c r="BR245" s="80">
        <f t="shared" ref="BR245:BR250" si="345">SUM(AO245:AW245)+SUM(BC245:BQ245)</f>
        <v>61817</v>
      </c>
    </row>
    <row r="246" spans="1:70" outlineLevel="1" x14ac:dyDescent="0.35">
      <c r="A246" s="1" t="s">
        <v>6</v>
      </c>
      <c r="B246" s="1" t="s">
        <v>7</v>
      </c>
      <c r="C246" s="1" t="s">
        <v>226</v>
      </c>
      <c r="D246" s="1" t="s">
        <v>56</v>
      </c>
      <c r="E246" s="1" t="s">
        <v>140</v>
      </c>
      <c r="F246" s="2">
        <v>1</v>
      </c>
      <c r="G246" s="66">
        <v>1</v>
      </c>
      <c r="H246" s="66">
        <v>1</v>
      </c>
      <c r="I246" s="1" t="s">
        <v>611</v>
      </c>
      <c r="J246" s="1" t="s">
        <v>612</v>
      </c>
      <c r="K246" s="1" t="s">
        <v>240</v>
      </c>
      <c r="L246" s="76" t="str">
        <f>IF(M246="","N",STEP!$J$22)</f>
        <v>N</v>
      </c>
      <c r="M246" s="1" t="s">
        <v>11</v>
      </c>
      <c r="N246" s="1" t="s">
        <v>11</v>
      </c>
      <c r="O246" s="1" t="s">
        <v>11</v>
      </c>
      <c r="P246" s="1"/>
      <c r="Q246" s="185">
        <v>20161019</v>
      </c>
      <c r="R246" s="196">
        <v>42662</v>
      </c>
      <c r="S246" s="197">
        <f t="shared" si="324"/>
        <v>71</v>
      </c>
      <c r="T246" s="66">
        <f t="shared" si="325"/>
        <v>6</v>
      </c>
      <c r="U246" s="65" t="s">
        <v>11</v>
      </c>
      <c r="V246" s="70">
        <v>25.767299999999999</v>
      </c>
      <c r="W246" s="74" t="str">
        <f t="shared" si="298"/>
        <v/>
      </c>
      <c r="X246" s="70" t="str" cm="1">
        <f t="array" ref="X246">IF(U246="","",INDEX(STEP!$C:$C,MATCH('Position Control'!M246&amp;'Position Control'!P246,STEP!$A:$A&amp;STEP!$B:$B,0)))</f>
        <v/>
      </c>
      <c r="Y246" s="74" t="str">
        <f>IF(L246="Y",(20221001-U246)/10000,"")</f>
        <v/>
      </c>
      <c r="Z246" s="1">
        <v>7520</v>
      </c>
      <c r="AA246" s="112">
        <f>VLOOKUP(Z246,'WRK COMP'!$A$1:$E$17,5,FALSE)</f>
        <v>1.116E-2</v>
      </c>
      <c r="AB246" s="76" t="s">
        <v>13</v>
      </c>
      <c r="AC246" s="68">
        <v>0</v>
      </c>
      <c r="AD246" s="68">
        <v>28.85</v>
      </c>
      <c r="AE246" s="68">
        <v>0</v>
      </c>
      <c r="AF246" s="68">
        <v>0</v>
      </c>
      <c r="AG246" s="68">
        <v>0</v>
      </c>
      <c r="AH246" s="68">
        <v>0</v>
      </c>
      <c r="AI246" s="68">
        <v>0</v>
      </c>
      <c r="AJ246" s="1" t="s">
        <v>14</v>
      </c>
      <c r="AK246" s="1" t="s">
        <v>43</v>
      </c>
      <c r="AL246" s="10" t="s">
        <v>49</v>
      </c>
      <c r="AM246" s="78">
        <f>IF(F246&gt;0.79,IF(ROUNDUP(IF(B246="FS",(V246*HRS!$B$9),(V246*HRS!$L$2))*2,-3)&gt;150000,150000,(ROUNDUP(IF(B246="FS",(V246*HRS!$B$9),(V246*HRS!$L$2))*2,-3))),0)</f>
        <v>108000</v>
      </c>
      <c r="AN246" s="188">
        <f t="shared" si="326"/>
        <v>55097</v>
      </c>
      <c r="AO246" s="77">
        <f>IF(L246="N",IF(B246="FS",ROUNDUP($V246*HRS!$B$9*'Position Control'!F246,0),ROUNDUP('Position Control'!$V246*HRS!$L$2*'Position Control'!F246,0)),IF('Position Control'!B246="FS",ROUNDUP(('Position Control'!V246*HRS!$B$9*'Position Control'!W246*'Position Control'!F246)+('Position Control'!X246*HRS!$B$9*'Position Control'!Y246*'Position Control'!F246),0),ROUNDUP(('Position Control'!V246*HRS!$L$2*'Position Control'!W246*'Position Control'!F246)+('Position Control'!X246*HRS!$L$2*'Position Control'!Y246*'Position Control'!F246),0)))*'Position Control'!H246</f>
        <v>53596</v>
      </c>
      <c r="AP246" s="77">
        <f t="shared" si="327"/>
        <v>0</v>
      </c>
      <c r="AQ246" s="77">
        <f t="shared" si="328"/>
        <v>1501</v>
      </c>
      <c r="AR246" s="77">
        <f t="shared" si="329"/>
        <v>0</v>
      </c>
      <c r="AS246" s="77">
        <v>0</v>
      </c>
      <c r="AT246" s="79">
        <f t="shared" si="330"/>
        <v>0</v>
      </c>
      <c r="AU246" s="77">
        <f t="shared" si="331"/>
        <v>0</v>
      </c>
      <c r="AV246" s="77">
        <v>0</v>
      </c>
      <c r="AW246" s="77">
        <f t="shared" si="332"/>
        <v>0</v>
      </c>
      <c r="AX246" s="77">
        <f t="shared" si="333"/>
        <v>0</v>
      </c>
      <c r="AY246" s="77">
        <f t="shared" si="334"/>
        <v>0</v>
      </c>
      <c r="AZ246" s="77">
        <f t="shared" si="335"/>
        <v>0</v>
      </c>
      <c r="BA246" s="77">
        <f t="shared" si="336"/>
        <v>0</v>
      </c>
      <c r="BB246" s="77">
        <f t="shared" si="337"/>
        <v>0</v>
      </c>
      <c r="BC246" s="77">
        <f t="shared" si="296"/>
        <v>0</v>
      </c>
      <c r="BD246" s="77">
        <f t="shared" si="338"/>
        <v>355</v>
      </c>
      <c r="BE246" s="77">
        <v>0</v>
      </c>
      <c r="BF246" s="77">
        <f t="shared" si="339"/>
        <v>129.60000000000002</v>
      </c>
      <c r="BG246" s="77">
        <f>VLOOKUP($AJ246,BENE!$I$2:$N$9,6,FALSE)*'Position Control'!$H246</f>
        <v>389</v>
      </c>
      <c r="BH246" s="77">
        <f>VLOOKUP($AK246,BENE!$A$2:$F$19,6,FALSE)*'Position Control'!$H246</f>
        <v>6870</v>
      </c>
      <c r="BI246" s="77">
        <f>VLOOKUP($AK246,BENE!$A$2:$G$19,7,FALSE)*'Position Control'!$H246</f>
        <v>0</v>
      </c>
      <c r="BJ246" s="77">
        <f>VLOOKUP($AL246,BENE!$P$2:$S$6,4,FALSE)*'Position Control'!$H246</f>
        <v>0</v>
      </c>
      <c r="BK246" s="77">
        <f>IF($F246&gt;HRS!$H$2,ROUNDUP(((($AN246+$BE246)*$BK$3)/12*9)+(($AN246+$BE246)*HRS!$B$10/12*3),0),0)*$H246</f>
        <v>9290</v>
      </c>
      <c r="BL246" s="80">
        <f t="shared" si="340"/>
        <v>615</v>
      </c>
      <c r="BM246" s="77">
        <f t="shared" si="341"/>
        <v>144</v>
      </c>
      <c r="BN246" s="77">
        <f t="shared" si="342"/>
        <v>799</v>
      </c>
      <c r="BO246" s="77">
        <f t="shared" si="343"/>
        <v>99</v>
      </c>
      <c r="BP246" s="77">
        <f t="shared" si="344"/>
        <v>0</v>
      </c>
      <c r="BQ246" s="77">
        <v>0</v>
      </c>
      <c r="BR246" s="80">
        <f t="shared" si="345"/>
        <v>73787.600000000006</v>
      </c>
    </row>
    <row r="247" spans="1:70" outlineLevel="1" x14ac:dyDescent="0.35">
      <c r="A247" s="1" t="s">
        <v>6</v>
      </c>
      <c r="B247" s="1" t="s">
        <v>7</v>
      </c>
      <c r="C247" s="1" t="s">
        <v>226</v>
      </c>
      <c r="D247" s="1" t="s">
        <v>56</v>
      </c>
      <c r="E247" s="1" t="s">
        <v>140</v>
      </c>
      <c r="F247" s="2">
        <v>1</v>
      </c>
      <c r="G247" s="66">
        <v>1</v>
      </c>
      <c r="H247" s="66">
        <v>1</v>
      </c>
      <c r="I247" s="1" t="s">
        <v>611</v>
      </c>
      <c r="J247" s="1" t="s">
        <v>612</v>
      </c>
      <c r="K247" s="10" t="s">
        <v>234</v>
      </c>
      <c r="L247" s="76" t="str">
        <f>IF(M247="","N",STEP!$J$22)</f>
        <v>N</v>
      </c>
      <c r="M247" s="1"/>
      <c r="N247" s="1"/>
      <c r="O247" s="1"/>
      <c r="P247" s="1"/>
      <c r="Q247" s="185">
        <v>20190918</v>
      </c>
      <c r="R247" s="196">
        <v>43726</v>
      </c>
      <c r="S247" s="197">
        <f t="shared" si="324"/>
        <v>36</v>
      </c>
      <c r="T247" s="66">
        <f t="shared" si="325"/>
        <v>4</v>
      </c>
      <c r="U247" s="65"/>
      <c r="V247" s="70">
        <v>23.858699999999999</v>
      </c>
      <c r="W247" s="74" t="str">
        <f t="shared" si="298"/>
        <v/>
      </c>
      <c r="X247" s="70"/>
      <c r="Y247" s="74" t="str">
        <f>IF(L247="Y",(20221001-U247)/10000,"")</f>
        <v/>
      </c>
      <c r="Z247" s="1">
        <v>7520</v>
      </c>
      <c r="AA247" s="112">
        <f>VLOOKUP(Z247,'WRK COMP'!$A$1:$E$17,5,FALSE)</f>
        <v>1.116E-2</v>
      </c>
      <c r="AB247" s="76" t="s">
        <v>13</v>
      </c>
      <c r="AC247" s="68">
        <v>0</v>
      </c>
      <c r="AD247" s="68">
        <v>0</v>
      </c>
      <c r="AE247" s="68">
        <v>0</v>
      </c>
      <c r="AF247" s="68">
        <v>0</v>
      </c>
      <c r="AG247" s="68">
        <v>0</v>
      </c>
      <c r="AH247" s="68">
        <v>0</v>
      </c>
      <c r="AI247" s="68">
        <v>0</v>
      </c>
      <c r="AJ247" s="1" t="s">
        <v>14</v>
      </c>
      <c r="AK247" s="1" t="s">
        <v>32</v>
      </c>
      <c r="AL247" s="1" t="s">
        <v>16</v>
      </c>
      <c r="AM247" s="78">
        <f>IF(F247&gt;0.79,IF(ROUNDUP(IF(B247="FS",(V247*HRS!$B$9),(V247*HRS!$L$2))*2,-3)&gt;150000,150000,(ROUNDUP(IF(B247="FS",(V247*HRS!$B$9),(V247*HRS!$L$2))*2,-3))),0)</f>
        <v>100000</v>
      </c>
      <c r="AN247" s="188">
        <f t="shared" si="326"/>
        <v>49627</v>
      </c>
      <c r="AO247" s="77">
        <f>IF(L247="N",IF(B247="FS",ROUNDUP($V247*HRS!$B$9*'Position Control'!F247,0),ROUNDUP('Position Control'!$V247*HRS!$L$2*'Position Control'!F247,0)),IF('Position Control'!B247="FS",ROUNDUP(('Position Control'!V247*HRS!$B$9*'Position Control'!W247*'Position Control'!F247)+('Position Control'!X247*HRS!$B$9*'Position Control'!Y247*'Position Control'!F247),0),ROUNDUP(('Position Control'!V247*HRS!$L$2*'Position Control'!W247*'Position Control'!F247)+('Position Control'!X247*HRS!$L$2*'Position Control'!Y247*'Position Control'!F247),0)))*'Position Control'!H247</f>
        <v>49627</v>
      </c>
      <c r="AP247" s="77">
        <f t="shared" si="327"/>
        <v>0</v>
      </c>
      <c r="AQ247" s="77">
        <f t="shared" si="328"/>
        <v>0</v>
      </c>
      <c r="AR247" s="77">
        <f t="shared" si="329"/>
        <v>0</v>
      </c>
      <c r="AS247" s="77">
        <v>0</v>
      </c>
      <c r="AT247" s="79">
        <f t="shared" si="330"/>
        <v>0</v>
      </c>
      <c r="AU247" s="77">
        <f t="shared" si="331"/>
        <v>0</v>
      </c>
      <c r="AV247" s="77">
        <v>0</v>
      </c>
      <c r="AW247" s="77">
        <f t="shared" si="332"/>
        <v>0</v>
      </c>
      <c r="AX247" s="77">
        <f t="shared" si="333"/>
        <v>0</v>
      </c>
      <c r="AY247" s="77">
        <f t="shared" si="334"/>
        <v>0</v>
      </c>
      <c r="AZ247" s="77">
        <f t="shared" si="335"/>
        <v>0</v>
      </c>
      <c r="BA247" s="77">
        <f t="shared" si="336"/>
        <v>0</v>
      </c>
      <c r="BB247" s="77">
        <f t="shared" si="337"/>
        <v>0</v>
      </c>
      <c r="BC247" s="77">
        <f t="shared" si="296"/>
        <v>0</v>
      </c>
      <c r="BD247" s="77">
        <f t="shared" si="338"/>
        <v>180</v>
      </c>
      <c r="BE247" s="77">
        <v>0</v>
      </c>
      <c r="BF247" s="77">
        <f t="shared" si="339"/>
        <v>120</v>
      </c>
      <c r="BG247" s="77">
        <f>VLOOKUP($AJ247,BENE!$I$2:$N$9,6,FALSE)*'Position Control'!$H247</f>
        <v>389</v>
      </c>
      <c r="BH247" s="77">
        <f>VLOOKUP($AK247,BENE!$A$2:$F$19,6,FALSE)*'Position Control'!$H247</f>
        <v>6273</v>
      </c>
      <c r="BI247" s="77">
        <f>VLOOKUP($AK247,BENE!$A$2:$G$19,7,FALSE)*'Position Control'!$H247</f>
        <v>1000</v>
      </c>
      <c r="BJ247" s="77">
        <f>VLOOKUP($AL247,BENE!$P$2:$S$6,4,FALSE)*'Position Control'!$H247</f>
        <v>240</v>
      </c>
      <c r="BK247" s="77">
        <f>IF($F247&gt;HRS!$H$2,ROUNDUP(((($AN247+$BE247)*$BK$3)/12*9)+(($AN247+$BE247)*HRS!$B$10/12*3),0),0)*$H247</f>
        <v>8368</v>
      </c>
      <c r="BL247" s="80">
        <f t="shared" si="340"/>
        <v>554</v>
      </c>
      <c r="BM247" s="77">
        <f t="shared" si="341"/>
        <v>144</v>
      </c>
      <c r="BN247" s="77">
        <f t="shared" si="342"/>
        <v>720</v>
      </c>
      <c r="BO247" s="77">
        <f t="shared" si="343"/>
        <v>89</v>
      </c>
      <c r="BP247" s="77">
        <f t="shared" si="344"/>
        <v>0</v>
      </c>
      <c r="BQ247" s="77">
        <v>0</v>
      </c>
      <c r="BR247" s="80">
        <f t="shared" si="345"/>
        <v>67704</v>
      </c>
    </row>
    <row r="248" spans="1:70" outlineLevel="1" x14ac:dyDescent="0.35">
      <c r="A248" s="1" t="s">
        <v>6</v>
      </c>
      <c r="B248" s="1" t="s">
        <v>7</v>
      </c>
      <c r="C248" s="1" t="s">
        <v>226</v>
      </c>
      <c r="D248" s="1" t="s">
        <v>56</v>
      </c>
      <c r="E248" s="1" t="s">
        <v>140</v>
      </c>
      <c r="F248" s="2">
        <v>1</v>
      </c>
      <c r="G248" s="66">
        <v>1</v>
      </c>
      <c r="H248" s="66">
        <v>1</v>
      </c>
      <c r="I248" s="1" t="s">
        <v>611</v>
      </c>
      <c r="J248" s="1" t="s">
        <v>612</v>
      </c>
      <c r="K248" s="1" t="s">
        <v>239</v>
      </c>
      <c r="L248" s="76" t="str">
        <f>IF(M248="","N",STEP!$J$22)</f>
        <v>N</v>
      </c>
      <c r="M248" s="1" t="s">
        <v>11</v>
      </c>
      <c r="N248" s="1" t="s">
        <v>11</v>
      </c>
      <c r="O248" s="1" t="s">
        <v>11</v>
      </c>
      <c r="P248" s="1"/>
      <c r="Q248" s="185">
        <v>20180717</v>
      </c>
      <c r="R248" s="196">
        <v>43298</v>
      </c>
      <c r="S248" s="197">
        <f t="shared" si="324"/>
        <v>50</v>
      </c>
      <c r="T248" s="66">
        <f t="shared" si="325"/>
        <v>5</v>
      </c>
      <c r="U248" s="65" t="s">
        <v>11</v>
      </c>
      <c r="V248" s="70">
        <v>21.022300000000001</v>
      </c>
      <c r="W248" s="74" t="str">
        <f t="shared" si="298"/>
        <v/>
      </c>
      <c r="X248" s="70" t="str" cm="1">
        <f t="array" ref="X248">IF(U248="","",INDEX(STEP!$C:$C,MATCH('Position Control'!M248&amp;'Position Control'!P248,STEP!$A:$A&amp;STEP!$B:$B,0)))</f>
        <v/>
      </c>
      <c r="Y248" s="74" t="str">
        <f>IF(L248="Y",(20221001-U248)/10000,"")</f>
        <v/>
      </c>
      <c r="Z248" s="1">
        <v>7520</v>
      </c>
      <c r="AA248" s="112">
        <f>VLOOKUP(Z248,'WRK COMP'!$A$1:$E$17,5,FALSE)</f>
        <v>1.116E-2</v>
      </c>
      <c r="AB248" s="76" t="s">
        <v>13</v>
      </c>
      <c r="AC248" s="68">
        <v>0</v>
      </c>
      <c r="AD248" s="68">
        <v>0</v>
      </c>
      <c r="AE248" s="68">
        <v>0</v>
      </c>
      <c r="AF248" s="68">
        <v>0</v>
      </c>
      <c r="AG248" s="68">
        <v>0</v>
      </c>
      <c r="AH248" s="68">
        <v>0</v>
      </c>
      <c r="AI248" s="68">
        <v>0</v>
      </c>
      <c r="AJ248" s="1" t="s">
        <v>61</v>
      </c>
      <c r="AK248" s="1" t="s">
        <v>50</v>
      </c>
      <c r="AL248" s="1" t="s">
        <v>16</v>
      </c>
      <c r="AM248" s="78">
        <f>IF(F248&gt;0.79,IF(ROUNDUP(IF(B248="FS",(V248*HRS!$B$9),(V248*HRS!$L$2))*2,-3)&gt;150000,150000,(ROUNDUP(IF(B248="FS",(V248*HRS!$B$9),(V248*HRS!$L$2))*2,-3))),0)</f>
        <v>88000</v>
      </c>
      <c r="AN248" s="188">
        <f t="shared" si="326"/>
        <v>43727</v>
      </c>
      <c r="AO248" s="77">
        <f>IF(L248="N",IF(B248="FS",ROUNDUP($V248*HRS!$B$9*'Position Control'!F248,0),ROUNDUP('Position Control'!$V248*HRS!$L$2*'Position Control'!F248,0)),IF('Position Control'!B248="FS",ROUNDUP(('Position Control'!V248*HRS!$B$9*'Position Control'!W248*'Position Control'!F248)+('Position Control'!X248*HRS!$B$9*'Position Control'!Y248*'Position Control'!F248),0),ROUNDUP(('Position Control'!V248*HRS!$L$2*'Position Control'!W248*'Position Control'!F248)+('Position Control'!X248*HRS!$L$2*'Position Control'!Y248*'Position Control'!F248),0)))*'Position Control'!H248</f>
        <v>43727</v>
      </c>
      <c r="AP248" s="77">
        <f t="shared" si="327"/>
        <v>0</v>
      </c>
      <c r="AQ248" s="77">
        <f t="shared" si="328"/>
        <v>0</v>
      </c>
      <c r="AR248" s="77">
        <f t="shared" si="329"/>
        <v>0</v>
      </c>
      <c r="AS248" s="77">
        <v>0</v>
      </c>
      <c r="AT248" s="79">
        <f t="shared" si="330"/>
        <v>0</v>
      </c>
      <c r="AU248" s="77">
        <f t="shared" si="331"/>
        <v>0</v>
      </c>
      <c r="AV248" s="77">
        <v>0</v>
      </c>
      <c r="AW248" s="77">
        <f t="shared" si="332"/>
        <v>0</v>
      </c>
      <c r="AX248" s="77">
        <f t="shared" si="333"/>
        <v>0</v>
      </c>
      <c r="AY248" s="77">
        <f t="shared" si="334"/>
        <v>0</v>
      </c>
      <c r="AZ248" s="77">
        <f t="shared" si="335"/>
        <v>0</v>
      </c>
      <c r="BA248" s="77">
        <f t="shared" si="336"/>
        <v>0</v>
      </c>
      <c r="BB248" s="77">
        <f t="shared" si="337"/>
        <v>0</v>
      </c>
      <c r="BC248" s="77">
        <f t="shared" si="296"/>
        <v>0</v>
      </c>
      <c r="BD248" s="77">
        <f t="shared" si="338"/>
        <v>250</v>
      </c>
      <c r="BE248" s="77">
        <v>0</v>
      </c>
      <c r="BF248" s="77">
        <f t="shared" si="339"/>
        <v>105.60000000000001</v>
      </c>
      <c r="BG248" s="77">
        <f>VLOOKUP($AJ248,BENE!$I$2:$N$9,6,FALSE)*'Position Control'!$H248</f>
        <v>311</v>
      </c>
      <c r="BH248" s="77">
        <f>VLOOKUP($AK248,BENE!$A$2:$F$19,6,FALSE)*'Position Control'!$H248</f>
        <v>11047</v>
      </c>
      <c r="BI248" s="77">
        <f>VLOOKUP($AK248,BENE!$A$2:$G$19,7,FALSE)*'Position Control'!$H248</f>
        <v>1500</v>
      </c>
      <c r="BJ248" s="77">
        <f>VLOOKUP($AL248,BENE!$P$2:$S$6,4,FALSE)*'Position Control'!$H248</f>
        <v>240</v>
      </c>
      <c r="BK248" s="77">
        <f>IF($F248&gt;HRS!$H$2,ROUNDUP(((($AN248+$BE248)*$BK$3)/12*9)+(($AN248+$BE248)*HRS!$B$10/12*3),0),0)*$H248</f>
        <v>7373</v>
      </c>
      <c r="BL248" s="80">
        <f t="shared" si="340"/>
        <v>488</v>
      </c>
      <c r="BM248" s="77">
        <f t="shared" si="341"/>
        <v>144</v>
      </c>
      <c r="BN248" s="77">
        <f t="shared" si="342"/>
        <v>635</v>
      </c>
      <c r="BO248" s="77">
        <f t="shared" si="343"/>
        <v>79</v>
      </c>
      <c r="BP248" s="77">
        <f t="shared" si="344"/>
        <v>0</v>
      </c>
      <c r="BQ248" s="77">
        <v>0</v>
      </c>
      <c r="BR248" s="80">
        <f t="shared" si="345"/>
        <v>65899.600000000006</v>
      </c>
    </row>
    <row r="249" spans="1:70" outlineLevel="1" x14ac:dyDescent="0.35">
      <c r="A249" s="1" t="s">
        <v>6</v>
      </c>
      <c r="B249" s="1" t="s">
        <v>7</v>
      </c>
      <c r="C249" s="1" t="s">
        <v>226</v>
      </c>
      <c r="D249" s="1" t="s">
        <v>56</v>
      </c>
      <c r="E249" s="1" t="s">
        <v>140</v>
      </c>
      <c r="F249" s="2">
        <v>1</v>
      </c>
      <c r="G249" s="66">
        <v>1</v>
      </c>
      <c r="H249" s="66">
        <v>1</v>
      </c>
      <c r="I249" s="1" t="s">
        <v>411</v>
      </c>
      <c r="J249" s="1" t="s">
        <v>408</v>
      </c>
      <c r="K249" s="1" t="s">
        <v>241</v>
      </c>
      <c r="L249" s="76" t="str">
        <f>IF(M249="","N",STEP!$J$22)</f>
        <v>N</v>
      </c>
      <c r="M249" s="1" t="s">
        <v>11</v>
      </c>
      <c r="N249" s="1" t="s">
        <v>11</v>
      </c>
      <c r="O249" s="1" t="s">
        <v>11</v>
      </c>
      <c r="P249" s="1"/>
      <c r="Q249" s="185">
        <v>20221002</v>
      </c>
      <c r="R249" s="196">
        <v>44836</v>
      </c>
      <c r="S249" s="197">
        <f t="shared" si="324"/>
        <v>0</v>
      </c>
      <c r="T249" s="66">
        <f t="shared" si="325"/>
        <v>0</v>
      </c>
      <c r="U249" s="65" t="s">
        <v>11</v>
      </c>
      <c r="V249" s="70">
        <v>16.9558</v>
      </c>
      <c r="W249" s="74" t="str">
        <f t="shared" si="298"/>
        <v/>
      </c>
      <c r="X249" s="70" t="str" cm="1">
        <f t="array" ref="X249">IF(U249="","",INDEX(STEP!$C:$C,MATCH('Position Control'!M249&amp;'Position Control'!P249,STEP!$A:$A&amp;STEP!$B:$B,0)))</f>
        <v/>
      </c>
      <c r="Y249" s="74" t="str">
        <f>IF(L249="Y",(20221001-U249)/10000,"")</f>
        <v/>
      </c>
      <c r="Z249" s="1">
        <v>7520</v>
      </c>
      <c r="AA249" s="112">
        <f>VLOOKUP(Z249,'WRK COMP'!$A$1:$E$17,5,FALSE)</f>
        <v>1.116E-2</v>
      </c>
      <c r="AB249" s="76" t="s">
        <v>13</v>
      </c>
      <c r="AC249" s="68">
        <v>0</v>
      </c>
      <c r="AD249" s="68">
        <v>0</v>
      </c>
      <c r="AE249" s="68">
        <v>0</v>
      </c>
      <c r="AF249" s="68">
        <v>0</v>
      </c>
      <c r="AG249" s="68">
        <v>0</v>
      </c>
      <c r="AH249" s="68">
        <v>0</v>
      </c>
      <c r="AI249" s="68">
        <v>0</v>
      </c>
      <c r="AJ249" s="10" t="s">
        <v>14</v>
      </c>
      <c r="AK249" s="10" t="s">
        <v>15</v>
      </c>
      <c r="AL249" s="10" t="s">
        <v>16</v>
      </c>
      <c r="AM249" s="78">
        <f>IF(F249&gt;0.79,IF(ROUNDUP(IF(B249="FS",(V249*HRS!$B$9),(V249*HRS!$L$2))*2,-3)&gt;150000,150000,(ROUNDUP(IF(B249="FS",(V249*HRS!$B$9),(V249*HRS!$L$2))*2,-3))),0)</f>
        <v>71000</v>
      </c>
      <c r="AN249" s="188">
        <f t="shared" si="326"/>
        <v>35269</v>
      </c>
      <c r="AO249" s="77">
        <f>IF(L249="N",IF(B249="FS",ROUNDUP($V249*HRS!$B$9*'Position Control'!F249,0),ROUNDUP('Position Control'!$V249*HRS!$L$2*'Position Control'!F249,0)),IF('Position Control'!B249="FS",ROUNDUP(('Position Control'!V249*HRS!$B$9*'Position Control'!W249*'Position Control'!F249)+('Position Control'!X249*HRS!$B$9*'Position Control'!Y249*'Position Control'!F249),0),ROUNDUP(('Position Control'!V249*HRS!$L$2*'Position Control'!W249*'Position Control'!F249)+('Position Control'!X249*HRS!$L$2*'Position Control'!Y249*'Position Control'!F249),0)))*'Position Control'!H249</f>
        <v>35269</v>
      </c>
      <c r="AP249" s="77">
        <f t="shared" si="327"/>
        <v>0</v>
      </c>
      <c r="AQ249" s="77">
        <f t="shared" si="328"/>
        <v>0</v>
      </c>
      <c r="AR249" s="77">
        <f t="shared" si="329"/>
        <v>0</v>
      </c>
      <c r="AS249" s="77">
        <v>0</v>
      </c>
      <c r="AT249" s="79">
        <f t="shared" si="330"/>
        <v>0</v>
      </c>
      <c r="AU249" s="77">
        <f t="shared" si="331"/>
        <v>0</v>
      </c>
      <c r="AV249" s="77">
        <v>0</v>
      </c>
      <c r="AW249" s="77">
        <f t="shared" si="332"/>
        <v>0</v>
      </c>
      <c r="AX249" s="77">
        <f t="shared" si="333"/>
        <v>0</v>
      </c>
      <c r="AY249" s="77">
        <f t="shared" si="334"/>
        <v>0</v>
      </c>
      <c r="AZ249" s="77">
        <f t="shared" si="335"/>
        <v>0</v>
      </c>
      <c r="BA249" s="77">
        <f t="shared" si="336"/>
        <v>0</v>
      </c>
      <c r="BB249" s="77">
        <f t="shared" si="337"/>
        <v>0</v>
      </c>
      <c r="BC249" s="77">
        <f t="shared" si="296"/>
        <v>0</v>
      </c>
      <c r="BD249" s="77">
        <f t="shared" si="338"/>
        <v>0</v>
      </c>
      <c r="BE249" s="77">
        <v>0</v>
      </c>
      <c r="BF249" s="77">
        <f t="shared" si="339"/>
        <v>85.2</v>
      </c>
      <c r="BG249" s="77">
        <f>VLOOKUP($AJ249,BENE!$I$2:$N$9,6,FALSE)*'Position Control'!$H249</f>
        <v>389</v>
      </c>
      <c r="BH249" s="77">
        <f>VLOOKUP($AK249,BENE!$A$2:$F$19,6,FALSE)*'Position Control'!$H249</f>
        <v>6142</v>
      </c>
      <c r="BI249" s="77">
        <f>VLOOKUP($AK249,BENE!$A$2:$G$19,7,FALSE)*'Position Control'!$H249</f>
        <v>1000</v>
      </c>
      <c r="BJ249" s="77">
        <f>VLOOKUP($AL249,BENE!$P$2:$S$6,4,FALSE)*'Position Control'!$H249</f>
        <v>240</v>
      </c>
      <c r="BK249" s="77">
        <f>IF($F249&gt;HRS!$H$2,ROUNDUP(((($AN249+$BE249)*$BK$3)/12*9)+(($AN249+$BE249)*HRS!$B$10/12*3),0),0)*$H249</f>
        <v>5947</v>
      </c>
      <c r="BL249" s="80">
        <f t="shared" si="340"/>
        <v>394</v>
      </c>
      <c r="BM249" s="77">
        <f t="shared" si="341"/>
        <v>144</v>
      </c>
      <c r="BN249" s="77">
        <f t="shared" si="342"/>
        <v>512</v>
      </c>
      <c r="BO249" s="77">
        <f t="shared" si="343"/>
        <v>63</v>
      </c>
      <c r="BP249" s="77">
        <f t="shared" si="344"/>
        <v>0</v>
      </c>
      <c r="BQ249" s="77">
        <v>0</v>
      </c>
      <c r="BR249" s="80">
        <f t="shared" si="345"/>
        <v>50185.2</v>
      </c>
    </row>
    <row r="250" spans="1:70" outlineLevel="1" x14ac:dyDescent="0.35">
      <c r="A250" s="1" t="s">
        <v>6</v>
      </c>
      <c r="B250" s="1" t="s">
        <v>7</v>
      </c>
      <c r="C250" s="1" t="s">
        <v>226</v>
      </c>
      <c r="D250" s="1" t="s">
        <v>56</v>
      </c>
      <c r="E250" s="1" t="s">
        <v>140</v>
      </c>
      <c r="F250" s="2">
        <v>1</v>
      </c>
      <c r="G250" s="66">
        <v>0</v>
      </c>
      <c r="H250" s="66">
        <v>1</v>
      </c>
      <c r="I250" s="10" t="s">
        <v>409</v>
      </c>
      <c r="J250" s="10" t="s">
        <v>410</v>
      </c>
      <c r="K250" s="1"/>
      <c r="L250" s="76" t="str">
        <f>IF(M250="","N",STEP!$J$22)</f>
        <v>N</v>
      </c>
      <c r="M250" s="1"/>
      <c r="N250" s="1"/>
      <c r="O250" s="1"/>
      <c r="P250" s="1"/>
      <c r="Q250" s="185">
        <v>20221002</v>
      </c>
      <c r="R250" s="196">
        <v>44836</v>
      </c>
      <c r="S250" s="197">
        <f t="shared" si="324"/>
        <v>0</v>
      </c>
      <c r="T250" s="66">
        <f t="shared" si="325"/>
        <v>0</v>
      </c>
      <c r="U250" s="1"/>
      <c r="V250" s="70">
        <v>0</v>
      </c>
      <c r="W250" s="74"/>
      <c r="X250" s="70"/>
      <c r="Y250" s="74"/>
      <c r="Z250" s="1">
        <v>7520</v>
      </c>
      <c r="AA250" s="112">
        <f>VLOOKUP(Z250,'WRK COMP'!$A$1:$E$17,5,FALSE)</f>
        <v>1.116E-2</v>
      </c>
      <c r="AB250" s="76" t="s">
        <v>13</v>
      </c>
      <c r="AC250" s="68">
        <v>0</v>
      </c>
      <c r="AD250" s="68">
        <v>0</v>
      </c>
      <c r="AE250" s="68">
        <v>0</v>
      </c>
      <c r="AF250" s="68">
        <v>0</v>
      </c>
      <c r="AG250" s="68">
        <v>0</v>
      </c>
      <c r="AH250" s="68">
        <v>0</v>
      </c>
      <c r="AI250" s="68">
        <v>0</v>
      </c>
      <c r="AJ250" s="10" t="s">
        <v>49</v>
      </c>
      <c r="AK250" s="10" t="s">
        <v>49</v>
      </c>
      <c r="AL250" s="10" t="s">
        <v>49</v>
      </c>
      <c r="AM250" s="78">
        <f>IF(F250&gt;0.79,IF(ROUNDUP(IF(B250="FS",(V250*HRS!$B$9),(V250*HRS!$L$2))*2,-3)&gt;150000,150000,(ROUNDUP(IF(B250="FS",(V250*HRS!$B$9),(V250*HRS!$L$2))*2,-3))),0)</f>
        <v>0</v>
      </c>
      <c r="AN250" s="188">
        <f t="shared" si="326"/>
        <v>7040</v>
      </c>
      <c r="AO250" s="77">
        <f>IF(L250="N",IF(B250="FS",ROUNDUP($V250*HRS!$B$9*'Position Control'!F250,0),ROUNDUP('Position Control'!$V250*HRS!$L$2*'Position Control'!F250,0)),IF('Position Control'!B250="FS",ROUNDUP(('Position Control'!V250*HRS!$B$9*'Position Control'!W250*'Position Control'!F250)+('Position Control'!X250*HRS!$B$9*'Position Control'!Y250*'Position Control'!F250),0),ROUNDUP(('Position Control'!V250*HRS!$L$2*'Position Control'!W250*'Position Control'!F250)+('Position Control'!X250*HRS!$L$2*'Position Control'!Y250*'Position Control'!F250),0)))*'Position Control'!H250</f>
        <v>0</v>
      </c>
      <c r="AP250" s="77">
        <f t="shared" si="327"/>
        <v>0</v>
      </c>
      <c r="AQ250" s="77">
        <f t="shared" si="328"/>
        <v>0</v>
      </c>
      <c r="AR250" s="77">
        <f t="shared" si="329"/>
        <v>0</v>
      </c>
      <c r="AS250" s="77">
        <v>0</v>
      </c>
      <c r="AT250" s="79">
        <f t="shared" si="330"/>
        <v>0</v>
      </c>
      <c r="AU250" s="77">
        <f t="shared" si="331"/>
        <v>0</v>
      </c>
      <c r="AV250" s="77">
        <f>'DIVISION BUDGETS'!C34</f>
        <v>7040</v>
      </c>
      <c r="AW250" s="77">
        <f t="shared" si="332"/>
        <v>0</v>
      </c>
      <c r="AX250" s="77">
        <f t="shared" si="333"/>
        <v>0</v>
      </c>
      <c r="AY250" s="77">
        <f t="shared" si="334"/>
        <v>0</v>
      </c>
      <c r="AZ250" s="77">
        <f t="shared" si="335"/>
        <v>0</v>
      </c>
      <c r="BA250" s="77">
        <f t="shared" si="336"/>
        <v>0</v>
      </c>
      <c r="BB250" s="77">
        <f t="shared" si="337"/>
        <v>0</v>
      </c>
      <c r="BC250" s="77">
        <f t="shared" si="296"/>
        <v>0</v>
      </c>
      <c r="BD250" s="77">
        <f t="shared" si="338"/>
        <v>0</v>
      </c>
      <c r="BE250" s="77">
        <f>'DIVISION BUDGETS'!D34</f>
        <v>25000</v>
      </c>
      <c r="BF250" s="77">
        <f t="shared" si="339"/>
        <v>0</v>
      </c>
      <c r="BG250" s="77">
        <f>VLOOKUP($AJ250,BENE!$I$2:$N$9,6,FALSE)*'Position Control'!$H250</f>
        <v>0</v>
      </c>
      <c r="BH250" s="77">
        <f>VLOOKUP($AK250,BENE!$A$2:$F$19,6,FALSE)*'Position Control'!$H250</f>
        <v>0</v>
      </c>
      <c r="BI250" s="77">
        <f>VLOOKUP($AK250,BENE!$A$2:$G$19,7,FALSE)*'Position Control'!$H250</f>
        <v>0</v>
      </c>
      <c r="BJ250" s="77">
        <f>VLOOKUP($AL250,BENE!$P$2:$S$6,4,FALSE)*'Position Control'!$H250</f>
        <v>0</v>
      </c>
      <c r="BK250" s="77">
        <f>IF($F250&gt;HRS!$H$2,ROUNDUP(((($AN250+$BE250)*$BK$3)/12*9)+(($AN250+$BE250)*HRS!$B$10/12*3),0),0)*$H250</f>
        <v>5402</v>
      </c>
      <c r="BL250" s="80">
        <f t="shared" si="340"/>
        <v>79</v>
      </c>
      <c r="BM250" s="77">
        <f t="shared" si="341"/>
        <v>113</v>
      </c>
      <c r="BN250" s="77">
        <f t="shared" si="342"/>
        <v>103</v>
      </c>
      <c r="BO250" s="77">
        <f t="shared" si="343"/>
        <v>13</v>
      </c>
      <c r="BP250" s="77">
        <f t="shared" si="344"/>
        <v>0</v>
      </c>
      <c r="BQ250" s="77">
        <v>0</v>
      </c>
      <c r="BR250" s="80">
        <f t="shared" si="345"/>
        <v>37750</v>
      </c>
    </row>
    <row r="251" spans="1:70" s="171" customFormat="1" x14ac:dyDescent="0.35">
      <c r="A251" s="161"/>
      <c r="B251" s="161"/>
      <c r="C251" s="161"/>
      <c r="D251" s="161"/>
      <c r="E251" s="161"/>
      <c r="F251" s="162"/>
      <c r="G251" s="163">
        <f>SUBTOTAL(9,G245:G250)</f>
        <v>4.5</v>
      </c>
      <c r="H251" s="163"/>
      <c r="I251" s="161" t="s">
        <v>566</v>
      </c>
      <c r="J251" s="161"/>
      <c r="K251" s="161"/>
      <c r="L251" s="164"/>
      <c r="M251" s="161"/>
      <c r="N251" s="161"/>
      <c r="O251" s="161"/>
      <c r="P251" s="161"/>
      <c r="Q251" s="186"/>
      <c r="R251" s="200"/>
      <c r="S251" s="208"/>
      <c r="T251" s="163"/>
      <c r="U251" s="161"/>
      <c r="V251" s="165"/>
      <c r="W251" s="166"/>
      <c r="X251" s="165"/>
      <c r="Y251" s="166"/>
      <c r="Z251" s="161"/>
      <c r="AA251" s="167"/>
      <c r="AB251" s="164"/>
      <c r="AC251" s="168"/>
      <c r="AD251" s="168"/>
      <c r="AE251" s="168"/>
      <c r="AF251" s="168"/>
      <c r="AG251" s="168"/>
      <c r="AH251" s="168"/>
      <c r="AI251" s="168"/>
      <c r="AJ251" s="161"/>
      <c r="AK251" s="161"/>
      <c r="AL251" s="161"/>
      <c r="AM251" s="169"/>
      <c r="AN251" s="189">
        <f t="shared" ref="AN251:BR251" si="346">SUBTOTAL(9,AN245:AN250)</f>
        <v>238560.5</v>
      </c>
      <c r="AO251" s="170">
        <f t="shared" si="346"/>
        <v>228219.5</v>
      </c>
      <c r="AP251" s="170">
        <f t="shared" si="346"/>
        <v>0</v>
      </c>
      <c r="AQ251" s="170">
        <f t="shared" si="346"/>
        <v>3001</v>
      </c>
      <c r="AR251" s="170">
        <f t="shared" si="346"/>
        <v>0</v>
      </c>
      <c r="AS251" s="170">
        <f t="shared" si="346"/>
        <v>0</v>
      </c>
      <c r="AT251" s="170">
        <f t="shared" si="346"/>
        <v>0</v>
      </c>
      <c r="AU251" s="170">
        <f t="shared" si="346"/>
        <v>300</v>
      </c>
      <c r="AV251" s="170">
        <f t="shared" si="346"/>
        <v>7040</v>
      </c>
      <c r="AW251" s="170">
        <f t="shared" si="346"/>
        <v>0</v>
      </c>
      <c r="AX251" s="170">
        <f t="shared" si="346"/>
        <v>0</v>
      </c>
      <c r="AY251" s="170">
        <f t="shared" si="346"/>
        <v>0</v>
      </c>
      <c r="AZ251" s="170">
        <f t="shared" si="346"/>
        <v>0</v>
      </c>
      <c r="BA251" s="170">
        <f t="shared" si="346"/>
        <v>0</v>
      </c>
      <c r="BB251" s="170">
        <f t="shared" si="346"/>
        <v>0</v>
      </c>
      <c r="BC251" s="170">
        <f t="shared" si="346"/>
        <v>0</v>
      </c>
      <c r="BD251" s="170">
        <f t="shared" si="346"/>
        <v>785</v>
      </c>
      <c r="BE251" s="170">
        <f t="shared" si="346"/>
        <v>25000</v>
      </c>
      <c r="BF251" s="170">
        <f t="shared" si="346"/>
        <v>530.40000000000009</v>
      </c>
      <c r="BG251" s="170">
        <f t="shared" si="346"/>
        <v>1633.5</v>
      </c>
      <c r="BH251" s="170">
        <f t="shared" si="346"/>
        <v>39344</v>
      </c>
      <c r="BI251" s="170">
        <f t="shared" si="346"/>
        <v>3500</v>
      </c>
      <c r="BJ251" s="170">
        <f t="shared" si="346"/>
        <v>720</v>
      </c>
      <c r="BK251" s="170">
        <f t="shared" si="346"/>
        <v>40410</v>
      </c>
      <c r="BL251" s="170">
        <f t="shared" si="346"/>
        <v>2397</v>
      </c>
      <c r="BM251" s="170">
        <f t="shared" si="346"/>
        <v>761</v>
      </c>
      <c r="BN251" s="170">
        <f t="shared" si="346"/>
        <v>3116</v>
      </c>
      <c r="BO251" s="170">
        <f t="shared" si="346"/>
        <v>386</v>
      </c>
      <c r="BP251" s="170">
        <f t="shared" si="346"/>
        <v>0</v>
      </c>
      <c r="BQ251" s="170">
        <f t="shared" si="346"/>
        <v>0</v>
      </c>
      <c r="BR251" s="170">
        <f t="shared" si="346"/>
        <v>357143.4</v>
      </c>
    </row>
    <row r="252" spans="1:70" outlineLevel="1" x14ac:dyDescent="0.35">
      <c r="A252" s="1" t="s">
        <v>6</v>
      </c>
      <c r="B252" s="1" t="s">
        <v>7</v>
      </c>
      <c r="C252" s="1" t="s">
        <v>226</v>
      </c>
      <c r="D252" s="1" t="s">
        <v>63</v>
      </c>
      <c r="E252" s="1" t="s">
        <v>242</v>
      </c>
      <c r="F252" s="2">
        <v>1</v>
      </c>
      <c r="G252" s="66">
        <v>1</v>
      </c>
      <c r="H252" s="66">
        <v>1</v>
      </c>
      <c r="I252" s="1" t="s">
        <v>611</v>
      </c>
      <c r="J252" s="1" t="s">
        <v>612</v>
      </c>
      <c r="K252" s="10" t="s">
        <v>602</v>
      </c>
      <c r="L252" s="76" t="str">
        <f>IF(M252="","N",STEP!$J$22)</f>
        <v>N</v>
      </c>
      <c r="M252" s="1" t="s">
        <v>11</v>
      </c>
      <c r="N252" s="1" t="s">
        <v>11</v>
      </c>
      <c r="O252" s="1" t="s">
        <v>11</v>
      </c>
      <c r="P252" s="1"/>
      <c r="Q252" s="185">
        <v>19720721</v>
      </c>
      <c r="R252" s="196">
        <v>44739</v>
      </c>
      <c r="S252" s="197">
        <f t="shared" ref="S252:S258" si="347">IF(A252="FT",IF(R252&gt;$S$1,0,(DATEDIF(R252,$S$1,"M"))),0)</f>
        <v>3</v>
      </c>
      <c r="T252" s="66">
        <f t="shared" ref="T252:T258" si="348">ROUNDDOWN(IF(A252="FT",DATEDIF(R252,$T$1,"y"),0),0)</f>
        <v>1</v>
      </c>
      <c r="U252" s="65" t="s">
        <v>11</v>
      </c>
      <c r="V252" s="70">
        <v>31.3201</v>
      </c>
      <c r="W252" s="74" t="str">
        <f t="shared" si="298"/>
        <v/>
      </c>
      <c r="X252" s="70" t="str" cm="1">
        <f t="array" ref="X252">IF(U252="","",INDEX(STEP!$C:$C,MATCH('Position Control'!M252&amp;'Position Control'!P252,STEP!$A:$A&amp;STEP!$B:$B,0)))</f>
        <v/>
      </c>
      <c r="Y252" s="74" t="str">
        <f>IF(L252="Y",(20221001-U252)/10000,"")</f>
        <v/>
      </c>
      <c r="Z252" s="1">
        <v>8810</v>
      </c>
      <c r="AA252" s="112">
        <f>VLOOKUP(Z252,'WRK COMP'!$A$1:$E$17,5,FALSE)</f>
        <v>1.0169999999999999E-3</v>
      </c>
      <c r="AB252" s="114" t="s">
        <v>13</v>
      </c>
      <c r="AC252" s="68">
        <v>0</v>
      </c>
      <c r="AD252" s="68">
        <v>0</v>
      </c>
      <c r="AE252" s="68">
        <v>0</v>
      </c>
      <c r="AF252" s="68">
        <v>0</v>
      </c>
      <c r="AG252" s="68">
        <v>0</v>
      </c>
      <c r="AH252" s="68">
        <v>0</v>
      </c>
      <c r="AI252" s="68">
        <v>0</v>
      </c>
      <c r="AJ252" s="1" t="s">
        <v>14</v>
      </c>
      <c r="AK252" s="1" t="s">
        <v>15</v>
      </c>
      <c r="AL252" s="1" t="s">
        <v>16</v>
      </c>
      <c r="AM252" s="78">
        <f>IF(F252&gt;0.79,IF(ROUNDUP(IF(B252="FS",(V252*HRS!$B$9),(V252*HRS!$L$2))*2,-3)&gt;150000,150000,(ROUNDUP(IF(B252="FS",(V252*HRS!$B$9),(V252*HRS!$L$2))*2,-3))),0)</f>
        <v>131000</v>
      </c>
      <c r="AN252" s="188">
        <f t="shared" ref="AN252:AN258" si="349">SUM(AO252:BB252)</f>
        <v>65146</v>
      </c>
      <c r="AO252" s="77">
        <f>IF(L252="N",IF(B252="FS",ROUNDUP($V252*HRS!$B$9*'Position Control'!F252,0),ROUNDUP('Position Control'!$V252*HRS!$L$2*'Position Control'!F252,0)),IF('Position Control'!B252="FS",ROUNDUP(('Position Control'!V252*HRS!$B$9*'Position Control'!W252*'Position Control'!F252)+('Position Control'!X252*HRS!$B$9*'Position Control'!Y252*'Position Control'!F252),0),ROUNDUP(('Position Control'!V252*HRS!$L$2*'Position Control'!W252*'Position Control'!F252)+('Position Control'!X252*HRS!$L$2*'Position Control'!Y252*'Position Control'!F252),0)))*'Position Control'!H252</f>
        <v>65146</v>
      </c>
      <c r="AP252" s="77">
        <f t="shared" ref="AP252:AP258" si="350">ROUNDUP(52*AC252,0)*H252</f>
        <v>0</v>
      </c>
      <c r="AQ252" s="77">
        <f t="shared" ref="AQ252:AQ258" si="351">IF(B252="FS",ROUNDUP(24*AD252,0),IF(B252="POL",ROUNDUP(26*AD252,0),ROUNDUP(52*AD252,0)))*$H252</f>
        <v>0</v>
      </c>
      <c r="AR252" s="77">
        <f t="shared" ref="AR252:AR258" si="352">IF(B252="FS",ROUNDUP(AG252*24,0),ROUNDUP(52*AG252,0))*H252</f>
        <v>0</v>
      </c>
      <c r="AS252" s="77">
        <v>0</v>
      </c>
      <c r="AT252" s="79">
        <f t="shared" ref="AT252:AT258" si="353">ROUNDUP(26*AF252,0)*H252</f>
        <v>0</v>
      </c>
      <c r="AU252" s="77">
        <f t="shared" ref="AU252:AU258" si="354">IF(B252="FS",ROUNDUP(24*AH252,0),IF(B252="POL",ROUNDUP(26*AH252,0),ROUNDUP(48*AH252,0)))*$H252</f>
        <v>0</v>
      </c>
      <c r="AV252" s="77">
        <v>0</v>
      </c>
      <c r="AW252" s="77">
        <f t="shared" ref="AW252:AW258" si="355">IF(B252="FS",ROUNDUP(24*AE252,0),IF(B252="POL",ROUNDUP(26*AE252,0),ROUNDUP(52*AE252,0)))*$H252</f>
        <v>0</v>
      </c>
      <c r="AX252" s="77">
        <f t="shared" ref="AX252:AX258" si="356">IF(AND(Q252&lt;20220401,A252&lt;&gt;"SP"),($AX$3*(AO252+BE252)),0)</f>
        <v>0</v>
      </c>
      <c r="AY252" s="77">
        <f t="shared" ref="AY252:AY258" si="357">IF(AND($L252="N",$Q252&lt;20220401,$A252&lt;&gt;"SP",$AO252&lt;100000),($AY$3*($AO252+$BE252)),0)</f>
        <v>0</v>
      </c>
      <c r="AZ252" s="77">
        <f t="shared" ref="AZ252:AZ258" si="358">IF(AND($L252="N",$Q252&lt;20220401,$A252&lt;&gt;"SP",$AO252&gt;100000),($AZ$3*($AO252+$BE252)),0)</f>
        <v>0</v>
      </c>
      <c r="BA252" s="77">
        <f t="shared" ref="BA252:BA258" si="359">IF(AND($L252="N",$Q252&lt;20220401,$A252&lt;&gt;"SP"),($BA$3*($AO252+$BE252)),0)</f>
        <v>0</v>
      </c>
      <c r="BB252" s="77">
        <f t="shared" ref="BB252:BB258" si="360">IF(AND($L252="Y",$Q252&lt;20220401,$A252&lt;&gt;"SP"),($BB$3*($AO252+$BE252)),0)</f>
        <v>0</v>
      </c>
      <c r="BC252" s="77">
        <f t="shared" si="296"/>
        <v>0</v>
      </c>
      <c r="BD252" s="77">
        <f t="shared" ref="BD252:BD258" si="361">IF($S252&gt;=12,IF(($S252*5)&gt;1200,1200,$S252*5),0)*$H252</f>
        <v>0</v>
      </c>
      <c r="BE252" s="77">
        <v>0</v>
      </c>
      <c r="BF252" s="77">
        <f t="shared" ref="BF252:BF258" si="362">$AM252*$BF$3*12*$H252</f>
        <v>157.20000000000002</v>
      </c>
      <c r="BG252" s="77">
        <f>VLOOKUP($AJ252,BENE!$I$2:$N$9,6,FALSE)*'Position Control'!$H252</f>
        <v>389</v>
      </c>
      <c r="BH252" s="77">
        <f>VLOOKUP($AK252,BENE!$A$2:$F$19,6,FALSE)*'Position Control'!$H252</f>
        <v>6142</v>
      </c>
      <c r="BI252" s="77">
        <f>VLOOKUP($AK252,BENE!$A$2:$G$19,7,FALSE)*'Position Control'!$H252</f>
        <v>1000</v>
      </c>
      <c r="BJ252" s="77">
        <f>VLOOKUP($AL252,BENE!$P$2:$S$6,4,FALSE)*'Position Control'!$H252</f>
        <v>240</v>
      </c>
      <c r="BK252" s="77">
        <f>IF($F252&gt;HRS!$H$2,ROUNDUP(((($AN252+$BE252)*$BK$3)/12*9)+(($AN252+$BE252)*HRS!$B$10/12*3),0),0)*$H252</f>
        <v>10984</v>
      </c>
      <c r="BL252" s="80">
        <f t="shared" ref="BL252:BL258" si="363">ROUNDUP($AN252*$AA252,0)*$H252</f>
        <v>67</v>
      </c>
      <c r="BM252" s="77">
        <f t="shared" ref="BM252:BM258" si="364">ROUNDUP(IF($AN252&gt;9000,$BM$3*9000,$BM$3*$AN252),0)*$H252</f>
        <v>144</v>
      </c>
      <c r="BN252" s="77">
        <f t="shared" ref="BN252:BN258" si="365">IF($AB252="Y",ROUNDUP($AN252*$BN$3,0),0)*$H252</f>
        <v>945</v>
      </c>
      <c r="BO252" s="77">
        <f t="shared" ref="BO252:BO258" si="366">IF($A252&lt;&gt;"SP",ROUND($BO$3*$AN252,0)*$H252,0)</f>
        <v>117</v>
      </c>
      <c r="BP252" s="77">
        <f t="shared" ref="BP252:BP258" si="367">IF($T252&gt;24,2000,IF($T252&gt;19,1750,IF($T252&gt;14,1500,IF($T252&gt;9.9999999999999,1000,0))))*$H252</f>
        <v>0</v>
      </c>
      <c r="BQ252" s="77">
        <v>0</v>
      </c>
      <c r="BR252" s="80">
        <f t="shared" ref="BR252:BR258" si="368">SUM(AO252:AW252)+SUM(BC252:BQ252)</f>
        <v>85331.199999999997</v>
      </c>
    </row>
    <row r="253" spans="1:70" outlineLevel="1" x14ac:dyDescent="0.35">
      <c r="A253" s="1" t="s">
        <v>6</v>
      </c>
      <c r="B253" s="1" t="s">
        <v>7</v>
      </c>
      <c r="C253" s="1" t="s">
        <v>226</v>
      </c>
      <c r="D253" s="1" t="s">
        <v>63</v>
      </c>
      <c r="E253" s="1" t="s">
        <v>242</v>
      </c>
      <c r="F253" s="2">
        <v>1</v>
      </c>
      <c r="G253" s="66">
        <v>1</v>
      </c>
      <c r="H253" s="66">
        <v>1</v>
      </c>
      <c r="I253" s="1" t="s">
        <v>611</v>
      </c>
      <c r="J253" s="1" t="s">
        <v>612</v>
      </c>
      <c r="K253" s="1" t="s">
        <v>243</v>
      </c>
      <c r="L253" s="76" t="str">
        <f>IF(M253="","N",STEP!$J$22)</f>
        <v>N</v>
      </c>
      <c r="M253" s="1" t="s">
        <v>11</v>
      </c>
      <c r="N253" s="1" t="s">
        <v>11</v>
      </c>
      <c r="O253" s="1" t="s">
        <v>11</v>
      </c>
      <c r="P253" s="1"/>
      <c r="Q253" s="185">
        <v>20010312</v>
      </c>
      <c r="R253" s="196">
        <v>36962</v>
      </c>
      <c r="S253" s="197">
        <f t="shared" si="347"/>
        <v>258</v>
      </c>
      <c r="T253" s="66">
        <f t="shared" si="348"/>
        <v>22</v>
      </c>
      <c r="U253" s="65" t="s">
        <v>11</v>
      </c>
      <c r="V253" s="70">
        <v>28.947399999999998</v>
      </c>
      <c r="W253" s="74" t="str">
        <f t="shared" si="298"/>
        <v/>
      </c>
      <c r="X253" s="70" t="str" cm="1">
        <f t="array" ref="X253">IF(U253="","",INDEX(STEP!$C:$C,MATCH('Position Control'!M253&amp;'Position Control'!P253,STEP!$A:$A&amp;STEP!$B:$B,0)))</f>
        <v/>
      </c>
      <c r="Y253" s="74" t="str">
        <f>IF(L253="Y",(20221001-U253)/10000,"")</f>
        <v/>
      </c>
      <c r="Z253" s="1">
        <v>8810</v>
      </c>
      <c r="AA253" s="112">
        <f>VLOOKUP(Z253,'WRK COMP'!$A$1:$E$17,5,FALSE)</f>
        <v>1.0169999999999999E-3</v>
      </c>
      <c r="AB253" s="76" t="s">
        <v>13</v>
      </c>
      <c r="AC253" s="68">
        <v>0</v>
      </c>
      <c r="AD253" s="68">
        <v>0</v>
      </c>
      <c r="AE253" s="68">
        <v>0</v>
      </c>
      <c r="AF253" s="68">
        <v>0</v>
      </c>
      <c r="AG253" s="68">
        <v>0</v>
      </c>
      <c r="AH253" s="68">
        <v>0</v>
      </c>
      <c r="AI253" s="68">
        <v>0</v>
      </c>
      <c r="AJ253" s="1" t="s">
        <v>14</v>
      </c>
      <c r="AK253" s="1" t="s">
        <v>15</v>
      </c>
      <c r="AL253" s="1" t="s">
        <v>16</v>
      </c>
      <c r="AM253" s="78">
        <f>IF(F253&gt;0.79,IF(ROUNDUP(IF(B253="FS",(V253*HRS!$B$9),(V253*HRS!$L$2))*2,-3)&gt;150000,150000,(ROUNDUP(IF(B253="FS",(V253*HRS!$B$9),(V253*HRS!$L$2))*2,-3))),0)</f>
        <v>121000</v>
      </c>
      <c r="AN253" s="188">
        <f t="shared" si="349"/>
        <v>60211</v>
      </c>
      <c r="AO253" s="77">
        <f>IF(L253="N",IF(B253="FS",ROUNDUP($V253*HRS!$B$9*'Position Control'!F253,0),ROUNDUP('Position Control'!$V253*HRS!$L$2*'Position Control'!F253,0)),IF('Position Control'!B253="FS",ROUNDUP(('Position Control'!V253*HRS!$B$9*'Position Control'!W253*'Position Control'!F253)+('Position Control'!X253*HRS!$B$9*'Position Control'!Y253*'Position Control'!F253),0),ROUNDUP(('Position Control'!V253*HRS!$L$2*'Position Control'!W253*'Position Control'!F253)+('Position Control'!X253*HRS!$L$2*'Position Control'!Y253*'Position Control'!F253),0)))*'Position Control'!H253</f>
        <v>60211</v>
      </c>
      <c r="AP253" s="77">
        <f t="shared" si="350"/>
        <v>0</v>
      </c>
      <c r="AQ253" s="77">
        <f t="shared" si="351"/>
        <v>0</v>
      </c>
      <c r="AR253" s="77">
        <f t="shared" si="352"/>
        <v>0</v>
      </c>
      <c r="AS253" s="77">
        <v>0</v>
      </c>
      <c r="AT253" s="79">
        <f t="shared" si="353"/>
        <v>0</v>
      </c>
      <c r="AU253" s="77">
        <f t="shared" si="354"/>
        <v>0</v>
      </c>
      <c r="AV253" s="77">
        <v>0</v>
      </c>
      <c r="AW253" s="77">
        <f t="shared" si="355"/>
        <v>0</v>
      </c>
      <c r="AX253" s="77">
        <f t="shared" si="356"/>
        <v>0</v>
      </c>
      <c r="AY253" s="77">
        <f t="shared" si="357"/>
        <v>0</v>
      </c>
      <c r="AZ253" s="77">
        <f t="shared" si="358"/>
        <v>0</v>
      </c>
      <c r="BA253" s="77">
        <f t="shared" si="359"/>
        <v>0</v>
      </c>
      <c r="BB253" s="77">
        <f t="shared" si="360"/>
        <v>0</v>
      </c>
      <c r="BC253" s="77">
        <f t="shared" si="296"/>
        <v>0</v>
      </c>
      <c r="BD253" s="77">
        <f t="shared" si="361"/>
        <v>1200</v>
      </c>
      <c r="BE253" s="77">
        <v>0</v>
      </c>
      <c r="BF253" s="77">
        <f t="shared" si="362"/>
        <v>145.20000000000002</v>
      </c>
      <c r="BG253" s="77">
        <f>VLOOKUP($AJ253,BENE!$I$2:$N$9,6,FALSE)*'Position Control'!$H253</f>
        <v>389</v>
      </c>
      <c r="BH253" s="77">
        <f>VLOOKUP($AK253,BENE!$A$2:$F$19,6,FALSE)*'Position Control'!$H253</f>
        <v>6142</v>
      </c>
      <c r="BI253" s="77">
        <f>VLOOKUP($AK253,BENE!$A$2:$G$19,7,FALSE)*'Position Control'!$H253</f>
        <v>1000</v>
      </c>
      <c r="BJ253" s="77">
        <f>VLOOKUP($AL253,BENE!$P$2:$S$6,4,FALSE)*'Position Control'!$H253</f>
        <v>240</v>
      </c>
      <c r="BK253" s="77">
        <f>IF($F253&gt;HRS!$H$2,ROUNDUP(((($AN253+$BE253)*$BK$3)/12*9)+(($AN253+$BE253)*HRS!$B$10/12*3),0),0)*$H253</f>
        <v>10152</v>
      </c>
      <c r="BL253" s="80">
        <f t="shared" si="363"/>
        <v>62</v>
      </c>
      <c r="BM253" s="77">
        <f t="shared" si="364"/>
        <v>144</v>
      </c>
      <c r="BN253" s="77">
        <f t="shared" si="365"/>
        <v>874</v>
      </c>
      <c r="BO253" s="77">
        <f t="shared" si="366"/>
        <v>108</v>
      </c>
      <c r="BP253" s="77">
        <f t="shared" si="367"/>
        <v>1750</v>
      </c>
      <c r="BQ253" s="77">
        <v>0</v>
      </c>
      <c r="BR253" s="80">
        <f t="shared" si="368"/>
        <v>82417.2</v>
      </c>
    </row>
    <row r="254" spans="1:70" outlineLevel="1" x14ac:dyDescent="0.35">
      <c r="A254" s="1" t="s">
        <v>6</v>
      </c>
      <c r="B254" s="1" t="s">
        <v>7</v>
      </c>
      <c r="C254" s="1" t="s">
        <v>226</v>
      </c>
      <c r="D254" s="1" t="s">
        <v>63</v>
      </c>
      <c r="E254" s="1" t="s">
        <v>242</v>
      </c>
      <c r="F254" s="2">
        <v>1</v>
      </c>
      <c r="G254" s="66">
        <v>1</v>
      </c>
      <c r="H254" s="66">
        <v>1</v>
      </c>
      <c r="I254" s="1" t="s">
        <v>611</v>
      </c>
      <c r="J254" s="1" t="s">
        <v>612</v>
      </c>
      <c r="K254" s="1" t="s">
        <v>245</v>
      </c>
      <c r="L254" s="76" t="str">
        <f>IF(M254="","N",STEP!$J$22)</f>
        <v>N</v>
      </c>
      <c r="M254" s="1" t="s">
        <v>11</v>
      </c>
      <c r="N254" s="1" t="s">
        <v>11</v>
      </c>
      <c r="O254" s="1" t="s">
        <v>11</v>
      </c>
      <c r="P254" s="1"/>
      <c r="Q254" s="185">
        <v>20150921</v>
      </c>
      <c r="R254" s="196">
        <v>42268</v>
      </c>
      <c r="S254" s="197">
        <f t="shared" si="347"/>
        <v>84</v>
      </c>
      <c r="T254" s="66">
        <f t="shared" si="348"/>
        <v>8</v>
      </c>
      <c r="U254" s="65" t="s">
        <v>11</v>
      </c>
      <c r="V254" s="192">
        <v>20.084099999999999</v>
      </c>
      <c r="W254" s="74" t="str">
        <f t="shared" si="298"/>
        <v/>
      </c>
      <c r="X254" s="70" t="str" cm="1">
        <f t="array" ref="X254">IF(U254="","",INDEX(STEP!$C:$C,MATCH('Position Control'!M254&amp;'Position Control'!P254,STEP!$A:$A&amp;STEP!$B:$B,0)))</f>
        <v/>
      </c>
      <c r="Y254" s="74" t="str">
        <f>IF(L254="Y",(20221001-U254)/10000,"")</f>
        <v/>
      </c>
      <c r="Z254" s="1">
        <v>8810</v>
      </c>
      <c r="AA254" s="112">
        <f>VLOOKUP(Z254,'WRK COMP'!$A$1:$E$17,5,FALSE)</f>
        <v>1.0169999999999999E-3</v>
      </c>
      <c r="AB254" s="76" t="s">
        <v>13</v>
      </c>
      <c r="AC254" s="68">
        <v>0</v>
      </c>
      <c r="AD254" s="68">
        <v>0</v>
      </c>
      <c r="AE254" s="68">
        <v>0</v>
      </c>
      <c r="AF254" s="68">
        <v>0</v>
      </c>
      <c r="AG254" s="68">
        <v>0</v>
      </c>
      <c r="AH254" s="68">
        <v>0</v>
      </c>
      <c r="AI254" s="68">
        <v>0</v>
      </c>
      <c r="AJ254" s="10" t="s">
        <v>49</v>
      </c>
      <c r="AK254" s="10" t="s">
        <v>49</v>
      </c>
      <c r="AL254" s="10" t="s">
        <v>49</v>
      </c>
      <c r="AM254" s="78">
        <f>IF(F254&gt;0.79,IF(ROUNDUP(IF(B254="FS",(V254*HRS!$B$9),(V254*HRS!$L$2))*2,-3)&gt;150000,150000,(ROUNDUP(IF(B254="FS",(V254*HRS!$B$9),(V254*HRS!$L$2))*2,-3))),0)</f>
        <v>84000</v>
      </c>
      <c r="AN254" s="188">
        <f t="shared" si="349"/>
        <v>41775</v>
      </c>
      <c r="AO254" s="77">
        <f>IF(L254="N",IF(B254="FS",ROUNDUP($V254*HRS!$B$9*'Position Control'!F254,0),ROUNDUP('Position Control'!$V254*HRS!$L$2*'Position Control'!F254,0)),IF('Position Control'!B254="FS",ROUNDUP(('Position Control'!V254*HRS!$B$9*'Position Control'!W254*'Position Control'!F254)+('Position Control'!X254*HRS!$B$9*'Position Control'!Y254*'Position Control'!F254),0),ROUNDUP(('Position Control'!V254*HRS!$L$2*'Position Control'!W254*'Position Control'!F254)+('Position Control'!X254*HRS!$L$2*'Position Control'!Y254*'Position Control'!F254),0)))*'Position Control'!H254</f>
        <v>41775</v>
      </c>
      <c r="AP254" s="77">
        <f t="shared" si="350"/>
        <v>0</v>
      </c>
      <c r="AQ254" s="77">
        <f t="shared" si="351"/>
        <v>0</v>
      </c>
      <c r="AR254" s="77">
        <f t="shared" si="352"/>
        <v>0</v>
      </c>
      <c r="AS254" s="77">
        <v>0</v>
      </c>
      <c r="AT254" s="79">
        <f t="shared" si="353"/>
        <v>0</v>
      </c>
      <c r="AU254" s="77">
        <f t="shared" si="354"/>
        <v>0</v>
      </c>
      <c r="AV254" s="77">
        <v>0</v>
      </c>
      <c r="AW254" s="77">
        <f t="shared" si="355"/>
        <v>0</v>
      </c>
      <c r="AX254" s="77">
        <f t="shared" si="356"/>
        <v>0</v>
      </c>
      <c r="AY254" s="77">
        <f t="shared" si="357"/>
        <v>0</v>
      </c>
      <c r="AZ254" s="77">
        <f t="shared" si="358"/>
        <v>0</v>
      </c>
      <c r="BA254" s="77">
        <f t="shared" si="359"/>
        <v>0</v>
      </c>
      <c r="BB254" s="77">
        <f t="shared" si="360"/>
        <v>0</v>
      </c>
      <c r="BC254" s="77">
        <f t="shared" si="296"/>
        <v>0</v>
      </c>
      <c r="BD254" s="77">
        <f t="shared" si="361"/>
        <v>420</v>
      </c>
      <c r="BE254" s="77">
        <v>0</v>
      </c>
      <c r="BF254" s="77">
        <f t="shared" si="362"/>
        <v>100.80000000000001</v>
      </c>
      <c r="BG254" s="77">
        <f>VLOOKUP($AJ254,BENE!$I$2:$N$9,6,FALSE)*'Position Control'!$H254</f>
        <v>0</v>
      </c>
      <c r="BH254" s="77">
        <f>VLOOKUP($AK254,BENE!$A$2:$F$19,6,FALSE)*'Position Control'!$H254</f>
        <v>0</v>
      </c>
      <c r="BI254" s="77">
        <f>VLOOKUP($AK254,BENE!$A$2:$G$19,7,FALSE)*'Position Control'!$H254</f>
        <v>0</v>
      </c>
      <c r="BJ254" s="77">
        <f>VLOOKUP($AL254,BENE!$P$2:$S$6,4,FALSE)*'Position Control'!$H254</f>
        <v>0</v>
      </c>
      <c r="BK254" s="77">
        <f>IF($F254&gt;HRS!$H$2,ROUNDUP(((($AN254+$BE254)*$BK$3)/12*9)+(($AN254+$BE254)*HRS!$B$10/12*3),0),0)*$H254</f>
        <v>7044</v>
      </c>
      <c r="BL254" s="80">
        <f t="shared" si="363"/>
        <v>43</v>
      </c>
      <c r="BM254" s="77">
        <f t="shared" si="364"/>
        <v>144</v>
      </c>
      <c r="BN254" s="77">
        <f t="shared" si="365"/>
        <v>606</v>
      </c>
      <c r="BO254" s="77">
        <f t="shared" si="366"/>
        <v>75</v>
      </c>
      <c r="BP254" s="77">
        <f t="shared" si="367"/>
        <v>0</v>
      </c>
      <c r="BQ254" s="77">
        <v>0</v>
      </c>
      <c r="BR254" s="80">
        <f t="shared" si="368"/>
        <v>50207.8</v>
      </c>
    </row>
    <row r="255" spans="1:70" outlineLevel="1" x14ac:dyDescent="0.35">
      <c r="A255" s="1" t="s">
        <v>6</v>
      </c>
      <c r="B255" s="1" t="s">
        <v>7</v>
      </c>
      <c r="C255" s="1" t="s">
        <v>226</v>
      </c>
      <c r="D255" s="1" t="s">
        <v>63</v>
      </c>
      <c r="E255" s="1" t="s">
        <v>242</v>
      </c>
      <c r="F255" s="2">
        <v>1</v>
      </c>
      <c r="G255" s="66">
        <v>1</v>
      </c>
      <c r="H255" s="66">
        <v>1</v>
      </c>
      <c r="I255" s="1" t="s">
        <v>611</v>
      </c>
      <c r="J255" s="1" t="s">
        <v>612</v>
      </c>
      <c r="K255" s="1" t="s">
        <v>246</v>
      </c>
      <c r="L255" s="76" t="str">
        <f>IF(M255="","N",STEP!$J$22)</f>
        <v>N</v>
      </c>
      <c r="M255" s="1" t="s">
        <v>11</v>
      </c>
      <c r="N255" s="1" t="s">
        <v>11</v>
      </c>
      <c r="O255" s="1" t="s">
        <v>11</v>
      </c>
      <c r="P255" s="1"/>
      <c r="Q255" s="185">
        <v>20210510</v>
      </c>
      <c r="R255" s="196">
        <v>44326</v>
      </c>
      <c r="S255" s="197">
        <f t="shared" si="347"/>
        <v>16</v>
      </c>
      <c r="T255" s="66">
        <f t="shared" si="348"/>
        <v>2</v>
      </c>
      <c r="U255" s="65" t="s">
        <v>11</v>
      </c>
      <c r="V255" s="192">
        <v>18.6938</v>
      </c>
      <c r="W255" s="74" t="str">
        <f t="shared" si="298"/>
        <v/>
      </c>
      <c r="X255" s="70" t="str" cm="1">
        <f t="array" ref="X255">IF(U255="","",INDEX(STEP!$C:$C,MATCH('Position Control'!M255&amp;'Position Control'!P255,STEP!$A:$A&amp;STEP!$B:$B,0)))</f>
        <v/>
      </c>
      <c r="Y255" s="74" t="str">
        <f>IF(L255="Y",(20221001-U255)/10000,"")</f>
        <v/>
      </c>
      <c r="Z255" s="1">
        <v>8810</v>
      </c>
      <c r="AA255" s="112">
        <f>VLOOKUP(Z255,'WRK COMP'!$A$1:$E$17,5,FALSE)</f>
        <v>1.0169999999999999E-3</v>
      </c>
      <c r="AB255" s="76" t="s">
        <v>13</v>
      </c>
      <c r="AC255" s="68">
        <v>0</v>
      </c>
      <c r="AD255" s="68">
        <v>0</v>
      </c>
      <c r="AE255" s="68">
        <v>0</v>
      </c>
      <c r="AF255" s="68">
        <v>0</v>
      </c>
      <c r="AG255" s="68">
        <v>0</v>
      </c>
      <c r="AH255" s="68">
        <v>0</v>
      </c>
      <c r="AI255" s="68">
        <v>0</v>
      </c>
      <c r="AJ255" s="1" t="s">
        <v>14</v>
      </c>
      <c r="AK255" s="1" t="s">
        <v>15</v>
      </c>
      <c r="AL255" s="1" t="s">
        <v>16</v>
      </c>
      <c r="AM255" s="78">
        <f>IF(F255&gt;0.79,IF(ROUNDUP(IF(B255="FS",(V255*HRS!$B$9),(V255*HRS!$L$2))*2,-3)&gt;150000,150000,(ROUNDUP(IF(B255="FS",(V255*HRS!$B$9),(V255*HRS!$L$2))*2,-3))),0)</f>
        <v>78000</v>
      </c>
      <c r="AN255" s="188">
        <f t="shared" si="349"/>
        <v>38884</v>
      </c>
      <c r="AO255" s="77">
        <f>IF(L255="N",IF(B255="FS",ROUNDUP($V255*HRS!$B$9*'Position Control'!F255,0),ROUNDUP('Position Control'!$V255*HRS!$L$2*'Position Control'!F255,0)),IF('Position Control'!B255="FS",ROUNDUP(('Position Control'!V255*HRS!$B$9*'Position Control'!W255*'Position Control'!F255)+('Position Control'!X255*HRS!$B$9*'Position Control'!Y255*'Position Control'!F255),0),ROUNDUP(('Position Control'!V255*HRS!$L$2*'Position Control'!W255*'Position Control'!F255)+('Position Control'!X255*HRS!$L$2*'Position Control'!Y255*'Position Control'!F255),0)))*'Position Control'!H255</f>
        <v>38884</v>
      </c>
      <c r="AP255" s="77">
        <f t="shared" si="350"/>
        <v>0</v>
      </c>
      <c r="AQ255" s="77">
        <f t="shared" si="351"/>
        <v>0</v>
      </c>
      <c r="AR255" s="77">
        <f t="shared" si="352"/>
        <v>0</v>
      </c>
      <c r="AS255" s="77">
        <v>0</v>
      </c>
      <c r="AT255" s="79">
        <f t="shared" si="353"/>
        <v>0</v>
      </c>
      <c r="AU255" s="77">
        <f t="shared" si="354"/>
        <v>0</v>
      </c>
      <c r="AV255" s="77">
        <v>0</v>
      </c>
      <c r="AW255" s="77">
        <f t="shared" si="355"/>
        <v>0</v>
      </c>
      <c r="AX255" s="77">
        <f t="shared" si="356"/>
        <v>0</v>
      </c>
      <c r="AY255" s="77">
        <f t="shared" si="357"/>
        <v>0</v>
      </c>
      <c r="AZ255" s="77">
        <f t="shared" si="358"/>
        <v>0</v>
      </c>
      <c r="BA255" s="77">
        <f t="shared" si="359"/>
        <v>0</v>
      </c>
      <c r="BB255" s="77">
        <f t="shared" si="360"/>
        <v>0</v>
      </c>
      <c r="BC255" s="77">
        <f t="shared" si="296"/>
        <v>0</v>
      </c>
      <c r="BD255" s="77">
        <f t="shared" si="361"/>
        <v>80</v>
      </c>
      <c r="BE255" s="77">
        <v>0</v>
      </c>
      <c r="BF255" s="77">
        <f t="shared" si="362"/>
        <v>93.600000000000009</v>
      </c>
      <c r="BG255" s="77">
        <f>VLOOKUP($AJ255,BENE!$I$2:$N$9,6,FALSE)*'Position Control'!$H255</f>
        <v>389</v>
      </c>
      <c r="BH255" s="77">
        <f>VLOOKUP($AK255,BENE!$A$2:$F$19,6,FALSE)*'Position Control'!$H255</f>
        <v>6142</v>
      </c>
      <c r="BI255" s="77">
        <f>VLOOKUP($AK255,BENE!$A$2:$G$19,7,FALSE)*'Position Control'!$H255</f>
        <v>1000</v>
      </c>
      <c r="BJ255" s="77">
        <f>VLOOKUP($AL255,BENE!$P$2:$S$6,4,FALSE)*'Position Control'!$H255</f>
        <v>240</v>
      </c>
      <c r="BK255" s="77">
        <f>IF($F255&gt;HRS!$H$2,ROUNDUP(((($AN255+$BE255)*$BK$3)/12*9)+(($AN255+$BE255)*HRS!$B$10/12*3),0),0)*$H255</f>
        <v>6556</v>
      </c>
      <c r="BL255" s="80">
        <f t="shared" si="363"/>
        <v>40</v>
      </c>
      <c r="BM255" s="77">
        <f t="shared" si="364"/>
        <v>144</v>
      </c>
      <c r="BN255" s="77">
        <f t="shared" si="365"/>
        <v>564</v>
      </c>
      <c r="BO255" s="77">
        <f t="shared" si="366"/>
        <v>70</v>
      </c>
      <c r="BP255" s="77">
        <f t="shared" si="367"/>
        <v>0</v>
      </c>
      <c r="BQ255" s="77">
        <v>0</v>
      </c>
      <c r="BR255" s="80">
        <f t="shared" si="368"/>
        <v>54202.6</v>
      </c>
    </row>
    <row r="256" spans="1:70" outlineLevel="1" x14ac:dyDescent="0.35">
      <c r="A256" s="1" t="s">
        <v>6</v>
      </c>
      <c r="B256" s="1" t="s">
        <v>7</v>
      </c>
      <c r="C256" s="1" t="s">
        <v>226</v>
      </c>
      <c r="D256" s="1" t="s">
        <v>63</v>
      </c>
      <c r="E256" s="1" t="s">
        <v>242</v>
      </c>
      <c r="F256" s="2">
        <v>1</v>
      </c>
      <c r="G256" s="66">
        <v>1</v>
      </c>
      <c r="H256" s="66">
        <v>1</v>
      </c>
      <c r="I256" s="1" t="s">
        <v>611</v>
      </c>
      <c r="J256" s="1" t="s">
        <v>612</v>
      </c>
      <c r="K256" s="1" t="s">
        <v>244</v>
      </c>
      <c r="L256" s="76" t="str">
        <f>IF(M256="","N",STEP!$J$22)</f>
        <v>N</v>
      </c>
      <c r="M256" s="1" t="s">
        <v>11</v>
      </c>
      <c r="N256" s="1" t="s">
        <v>11</v>
      </c>
      <c r="O256" s="1" t="s">
        <v>11</v>
      </c>
      <c r="P256" s="1"/>
      <c r="Q256" s="185">
        <v>20170612</v>
      </c>
      <c r="R256" s="196">
        <v>42898</v>
      </c>
      <c r="S256" s="197">
        <f t="shared" si="347"/>
        <v>63</v>
      </c>
      <c r="T256" s="66">
        <f t="shared" si="348"/>
        <v>6</v>
      </c>
      <c r="U256" s="65" t="s">
        <v>11</v>
      </c>
      <c r="V256" s="70">
        <v>17.5169</v>
      </c>
      <c r="W256" s="74" t="str">
        <f t="shared" si="298"/>
        <v/>
      </c>
      <c r="X256" s="70" t="str" cm="1">
        <f t="array" ref="X256">IF(U256="","",INDEX(STEP!$C:$C,MATCH('Position Control'!M256&amp;'Position Control'!P256,STEP!$A:$A&amp;STEP!$B:$B,0)))</f>
        <v/>
      </c>
      <c r="Y256" s="74" t="str">
        <f>IF(L256="Y",(20221001-U256)/10000,"")</f>
        <v/>
      </c>
      <c r="Z256" s="1">
        <v>8810</v>
      </c>
      <c r="AA256" s="112">
        <f>VLOOKUP(Z256,'WRK COMP'!$A$1:$E$17,5,FALSE)</f>
        <v>1.0169999999999999E-3</v>
      </c>
      <c r="AB256" s="76" t="s">
        <v>13</v>
      </c>
      <c r="AC256" s="68">
        <v>0</v>
      </c>
      <c r="AD256" s="68">
        <v>0</v>
      </c>
      <c r="AE256" s="68">
        <v>0</v>
      </c>
      <c r="AF256" s="68">
        <v>0</v>
      </c>
      <c r="AG256" s="68">
        <v>0</v>
      </c>
      <c r="AH256" s="68">
        <v>0</v>
      </c>
      <c r="AI256" s="68">
        <v>0</v>
      </c>
      <c r="AJ256" s="1" t="s">
        <v>18</v>
      </c>
      <c r="AK256" s="1" t="s">
        <v>29</v>
      </c>
      <c r="AL256" s="10" t="s">
        <v>49</v>
      </c>
      <c r="AM256" s="78">
        <f>IF(F256&gt;0.79,IF(ROUNDUP(IF(B256="FS",(V256*HRS!$B$9),(V256*HRS!$L$2))*2,-3)&gt;150000,150000,(ROUNDUP(IF(B256="FS",(V256*HRS!$B$9),(V256*HRS!$L$2))*2,-3))),0)</f>
        <v>73000</v>
      </c>
      <c r="AN256" s="188">
        <f t="shared" si="349"/>
        <v>36436</v>
      </c>
      <c r="AO256" s="77">
        <f>IF(L256="N",IF(B256="FS",ROUNDUP($V256*HRS!$B$9*'Position Control'!F256,0),ROUNDUP('Position Control'!$V256*HRS!$L$2*'Position Control'!F256,0)),IF('Position Control'!B256="FS",ROUNDUP(('Position Control'!V256*HRS!$B$9*'Position Control'!W256*'Position Control'!F256)+('Position Control'!X256*HRS!$B$9*'Position Control'!Y256*'Position Control'!F256),0),ROUNDUP(('Position Control'!V256*HRS!$L$2*'Position Control'!W256*'Position Control'!F256)+('Position Control'!X256*HRS!$L$2*'Position Control'!Y256*'Position Control'!F256),0)))*'Position Control'!H256</f>
        <v>36436</v>
      </c>
      <c r="AP256" s="77">
        <f t="shared" si="350"/>
        <v>0</v>
      </c>
      <c r="AQ256" s="77">
        <f t="shared" si="351"/>
        <v>0</v>
      </c>
      <c r="AR256" s="77">
        <f t="shared" si="352"/>
        <v>0</v>
      </c>
      <c r="AS256" s="77">
        <v>0</v>
      </c>
      <c r="AT256" s="79">
        <f t="shared" si="353"/>
        <v>0</v>
      </c>
      <c r="AU256" s="77">
        <f t="shared" si="354"/>
        <v>0</v>
      </c>
      <c r="AV256" s="77">
        <v>0</v>
      </c>
      <c r="AW256" s="77">
        <f t="shared" si="355"/>
        <v>0</v>
      </c>
      <c r="AX256" s="77">
        <f t="shared" si="356"/>
        <v>0</v>
      </c>
      <c r="AY256" s="77">
        <f t="shared" si="357"/>
        <v>0</v>
      </c>
      <c r="AZ256" s="77">
        <f t="shared" si="358"/>
        <v>0</v>
      </c>
      <c r="BA256" s="77">
        <f t="shared" si="359"/>
        <v>0</v>
      </c>
      <c r="BB256" s="77">
        <f t="shared" si="360"/>
        <v>0</v>
      </c>
      <c r="BC256" s="77">
        <f t="shared" si="296"/>
        <v>0</v>
      </c>
      <c r="BD256" s="77">
        <f t="shared" si="361"/>
        <v>315</v>
      </c>
      <c r="BE256" s="77">
        <v>0</v>
      </c>
      <c r="BF256" s="77">
        <f t="shared" si="362"/>
        <v>87.600000000000009</v>
      </c>
      <c r="BG256" s="77">
        <f>VLOOKUP($AJ256,BENE!$I$2:$N$9,6,FALSE)*'Position Control'!$H256</f>
        <v>760</v>
      </c>
      <c r="BH256" s="77">
        <f>VLOOKUP($AK256,BENE!$A$2:$F$19,6,FALSE)*'Position Control'!$H256</f>
        <v>15700</v>
      </c>
      <c r="BI256" s="77">
        <f>VLOOKUP($AK256,BENE!$A$2:$G$19,7,FALSE)*'Position Control'!$H256</f>
        <v>1500</v>
      </c>
      <c r="BJ256" s="77">
        <f>VLOOKUP($AL256,BENE!$P$2:$S$6,4,FALSE)*'Position Control'!$H256</f>
        <v>0</v>
      </c>
      <c r="BK256" s="77">
        <f>IF($F256&gt;HRS!$H$2,ROUNDUP(((($AN256+$BE256)*$BK$3)/12*9)+(($AN256+$BE256)*HRS!$B$10/12*3),0),0)*$H256</f>
        <v>6144</v>
      </c>
      <c r="BL256" s="80">
        <f t="shared" si="363"/>
        <v>38</v>
      </c>
      <c r="BM256" s="77">
        <f t="shared" si="364"/>
        <v>144</v>
      </c>
      <c r="BN256" s="77">
        <f t="shared" si="365"/>
        <v>529</v>
      </c>
      <c r="BO256" s="77">
        <f t="shared" si="366"/>
        <v>66</v>
      </c>
      <c r="BP256" s="77">
        <f t="shared" si="367"/>
        <v>0</v>
      </c>
      <c r="BQ256" s="77">
        <v>0</v>
      </c>
      <c r="BR256" s="80">
        <f t="shared" si="368"/>
        <v>61719.6</v>
      </c>
    </row>
    <row r="257" spans="1:70" outlineLevel="1" x14ac:dyDescent="0.35">
      <c r="A257" s="1" t="s">
        <v>6</v>
      </c>
      <c r="B257" s="1" t="s">
        <v>7</v>
      </c>
      <c r="C257" s="1" t="s">
        <v>226</v>
      </c>
      <c r="D257" s="1" t="s">
        <v>63</v>
      </c>
      <c r="E257" s="1" t="s">
        <v>242</v>
      </c>
      <c r="F257" s="2">
        <v>0</v>
      </c>
      <c r="G257" s="66">
        <v>1</v>
      </c>
      <c r="H257" s="66">
        <v>0</v>
      </c>
      <c r="I257" s="10" t="s">
        <v>407</v>
      </c>
      <c r="J257" s="10" t="s">
        <v>408</v>
      </c>
      <c r="K257" s="1" t="s">
        <v>244</v>
      </c>
      <c r="L257" s="76" t="str">
        <f>IF(M257="","N",STEP!$J$22)</f>
        <v>N</v>
      </c>
      <c r="M257" s="1"/>
      <c r="N257" s="1"/>
      <c r="O257" s="1"/>
      <c r="P257" s="1"/>
      <c r="Q257" s="185">
        <v>20221002</v>
      </c>
      <c r="R257" s="196">
        <v>44836</v>
      </c>
      <c r="S257" s="197">
        <f t="shared" si="347"/>
        <v>0</v>
      </c>
      <c r="T257" s="66">
        <f t="shared" si="348"/>
        <v>0</v>
      </c>
      <c r="U257" s="65"/>
      <c r="V257" s="70">
        <v>16.148399999999999</v>
      </c>
      <c r="W257" s="74"/>
      <c r="X257" s="70"/>
      <c r="Y257" s="74"/>
      <c r="Z257" s="1">
        <v>8810</v>
      </c>
      <c r="AA257" s="112">
        <f>VLOOKUP(Z257,'WRK COMP'!$A$1:$E$17,5,FALSE)</f>
        <v>1.0169999999999999E-3</v>
      </c>
      <c r="AB257" s="76" t="s">
        <v>13</v>
      </c>
      <c r="AC257" s="68">
        <v>0</v>
      </c>
      <c r="AD257" s="68">
        <v>0</v>
      </c>
      <c r="AE257" s="68">
        <v>0</v>
      </c>
      <c r="AF257" s="68">
        <v>0</v>
      </c>
      <c r="AG257" s="68">
        <v>0</v>
      </c>
      <c r="AH257" s="68">
        <v>0</v>
      </c>
      <c r="AI257" s="68">
        <v>0</v>
      </c>
      <c r="AJ257" s="10" t="s">
        <v>49</v>
      </c>
      <c r="AK257" s="10" t="s">
        <v>49</v>
      </c>
      <c r="AL257" s="10" t="s">
        <v>49</v>
      </c>
      <c r="AM257" s="78">
        <f>IF(F257&gt;0.79,IF(ROUNDUP(IF(B257="FS",(V257*HRS!$B$9),(V257*HRS!$L$2))*2,-3)&gt;150000,150000,(ROUNDUP(IF(B257="FS",(V257*HRS!$B$9),(V257*HRS!$L$2))*2,-3))),0)</f>
        <v>0</v>
      </c>
      <c r="AN257" s="188">
        <f t="shared" si="349"/>
        <v>0</v>
      </c>
      <c r="AO257" s="77">
        <f>IF(L257="N",IF(B257="FS",ROUNDUP($V257*HRS!$B$9*'Position Control'!F257,0),ROUNDUP('Position Control'!$V257*HRS!$L$2*'Position Control'!F257,0)),IF('Position Control'!B257="FS",ROUNDUP(('Position Control'!V257*HRS!$B$9*'Position Control'!W257*'Position Control'!F257)+('Position Control'!X257*HRS!$B$9*'Position Control'!Y257*'Position Control'!F257),0),ROUNDUP(('Position Control'!V257*HRS!$L$2*'Position Control'!W257*'Position Control'!F257)+('Position Control'!X257*HRS!$L$2*'Position Control'!Y257*'Position Control'!F257),0)))*'Position Control'!H257</f>
        <v>0</v>
      </c>
      <c r="AP257" s="77">
        <f t="shared" si="350"/>
        <v>0</v>
      </c>
      <c r="AQ257" s="77">
        <f t="shared" si="351"/>
        <v>0</v>
      </c>
      <c r="AR257" s="77">
        <f t="shared" si="352"/>
        <v>0</v>
      </c>
      <c r="AS257" s="77">
        <v>0</v>
      </c>
      <c r="AT257" s="79">
        <f t="shared" si="353"/>
        <v>0</v>
      </c>
      <c r="AU257" s="77">
        <f t="shared" si="354"/>
        <v>0</v>
      </c>
      <c r="AV257" s="77">
        <v>0</v>
      </c>
      <c r="AW257" s="77">
        <f t="shared" si="355"/>
        <v>0</v>
      </c>
      <c r="AX257" s="77">
        <f t="shared" si="356"/>
        <v>0</v>
      </c>
      <c r="AY257" s="77">
        <f t="shared" si="357"/>
        <v>0</v>
      </c>
      <c r="AZ257" s="77">
        <f t="shared" si="358"/>
        <v>0</v>
      </c>
      <c r="BA257" s="77">
        <f t="shared" si="359"/>
        <v>0</v>
      </c>
      <c r="BB257" s="77">
        <f t="shared" si="360"/>
        <v>0</v>
      </c>
      <c r="BC257" s="77">
        <f t="shared" si="296"/>
        <v>0</v>
      </c>
      <c r="BD257" s="77">
        <f t="shared" si="361"/>
        <v>0</v>
      </c>
      <c r="BE257" s="77">
        <v>0</v>
      </c>
      <c r="BF257" s="77">
        <f t="shared" si="362"/>
        <v>0</v>
      </c>
      <c r="BG257" s="77">
        <f>VLOOKUP($AJ257,BENE!$I$2:$N$9,6,FALSE)*'Position Control'!$H257</f>
        <v>0</v>
      </c>
      <c r="BH257" s="77">
        <f>VLOOKUP($AK257,BENE!$A$2:$F$19,6,FALSE)*'Position Control'!$H257</f>
        <v>0</v>
      </c>
      <c r="BI257" s="77">
        <f>VLOOKUP($AK257,BENE!$A$2:$G$19,7,FALSE)*'Position Control'!$H257</f>
        <v>0</v>
      </c>
      <c r="BJ257" s="77">
        <f>VLOOKUP($AL257,BENE!$P$2:$S$6,4,FALSE)*'Position Control'!$H257</f>
        <v>0</v>
      </c>
      <c r="BK257" s="77">
        <f>IF($F257&gt;HRS!$H$2,ROUNDUP(((($AN257+$BE257)*$BK$3)/12*9)+(($AN257+$BE257)*HRS!$B$10/12*3),0),0)*$H257</f>
        <v>0</v>
      </c>
      <c r="BL257" s="80">
        <f t="shared" si="363"/>
        <v>0</v>
      </c>
      <c r="BM257" s="77">
        <f t="shared" si="364"/>
        <v>0</v>
      </c>
      <c r="BN257" s="77">
        <f t="shared" si="365"/>
        <v>0</v>
      </c>
      <c r="BO257" s="77">
        <f t="shared" si="366"/>
        <v>0</v>
      </c>
      <c r="BP257" s="77">
        <f t="shared" si="367"/>
        <v>0</v>
      </c>
      <c r="BQ257" s="77">
        <v>0</v>
      </c>
      <c r="BR257" s="80">
        <f t="shared" si="368"/>
        <v>0</v>
      </c>
    </row>
    <row r="258" spans="1:70" outlineLevel="1" x14ac:dyDescent="0.35">
      <c r="A258" s="1" t="s">
        <v>6</v>
      </c>
      <c r="B258" s="1" t="s">
        <v>7</v>
      </c>
      <c r="C258" s="1" t="s">
        <v>226</v>
      </c>
      <c r="D258" s="1" t="s">
        <v>63</v>
      </c>
      <c r="E258" s="1" t="s">
        <v>242</v>
      </c>
      <c r="F258" s="2">
        <v>1</v>
      </c>
      <c r="G258" s="66">
        <v>0</v>
      </c>
      <c r="H258" s="66">
        <v>1</v>
      </c>
      <c r="I258" s="10" t="s">
        <v>409</v>
      </c>
      <c r="J258" s="10" t="s">
        <v>410</v>
      </c>
      <c r="K258" s="1"/>
      <c r="L258" s="76"/>
      <c r="M258" s="1"/>
      <c r="N258" s="1"/>
      <c r="O258" s="1"/>
      <c r="P258" s="1"/>
      <c r="Q258" s="185">
        <v>20221002</v>
      </c>
      <c r="R258" s="196">
        <v>44836</v>
      </c>
      <c r="S258" s="197">
        <f t="shared" si="347"/>
        <v>0</v>
      </c>
      <c r="T258" s="66">
        <f t="shared" si="348"/>
        <v>0</v>
      </c>
      <c r="U258" s="1"/>
      <c r="V258" s="70">
        <v>0</v>
      </c>
      <c r="W258" s="74"/>
      <c r="X258" s="70"/>
      <c r="Y258" s="74"/>
      <c r="Z258" s="1">
        <v>8810</v>
      </c>
      <c r="AA258" s="112">
        <f>VLOOKUP(Z258,'WRK COMP'!$A$1:$E$17,5,FALSE)</f>
        <v>1.0169999999999999E-3</v>
      </c>
      <c r="AB258" s="76" t="s">
        <v>13</v>
      </c>
      <c r="AC258" s="68">
        <v>0</v>
      </c>
      <c r="AD258" s="68">
        <v>0</v>
      </c>
      <c r="AE258" s="68">
        <v>0</v>
      </c>
      <c r="AF258" s="68">
        <v>0</v>
      </c>
      <c r="AG258" s="68">
        <v>0</v>
      </c>
      <c r="AH258" s="68">
        <v>0</v>
      </c>
      <c r="AI258" s="68">
        <v>0</v>
      </c>
      <c r="AJ258" s="10" t="s">
        <v>49</v>
      </c>
      <c r="AK258" s="10" t="s">
        <v>49</v>
      </c>
      <c r="AL258" s="10" t="s">
        <v>49</v>
      </c>
      <c r="AM258" s="78">
        <f>IF(F258&gt;0.79,IF(ROUNDUP(IF(B258="FS",(V258*HRS!$B$9),(V258*HRS!$L$2))*2,-3)&gt;150000,150000,(ROUNDUP(IF(B258="FS",(V258*HRS!$B$9),(V258*HRS!$L$2))*2,-3))),0)</f>
        <v>0</v>
      </c>
      <c r="AN258" s="188">
        <f t="shared" si="349"/>
        <v>0</v>
      </c>
      <c r="AO258" s="77">
        <f>IF(L258="N",IF(B258="FS",ROUNDUP($V258*HRS!$B$9*'Position Control'!F258,0),ROUNDUP('Position Control'!$V258*HRS!$L$2*'Position Control'!F258,0)),IF('Position Control'!B258="FS",ROUNDUP(('Position Control'!V258*HRS!$B$9*'Position Control'!W258*'Position Control'!F258)+('Position Control'!X258*HRS!$B$9*'Position Control'!Y258*'Position Control'!F258),0),ROUNDUP(('Position Control'!V258*HRS!$L$2*'Position Control'!W258*'Position Control'!F258)+('Position Control'!X258*HRS!$L$2*'Position Control'!Y258*'Position Control'!F258),0)))*'Position Control'!H258</f>
        <v>0</v>
      </c>
      <c r="AP258" s="77">
        <f t="shared" si="350"/>
        <v>0</v>
      </c>
      <c r="AQ258" s="77">
        <f t="shared" si="351"/>
        <v>0</v>
      </c>
      <c r="AR258" s="77">
        <f t="shared" si="352"/>
        <v>0</v>
      </c>
      <c r="AS258" s="77">
        <v>0</v>
      </c>
      <c r="AT258" s="79">
        <f t="shared" si="353"/>
        <v>0</v>
      </c>
      <c r="AU258" s="77">
        <f t="shared" si="354"/>
        <v>0</v>
      </c>
      <c r="AV258" s="77">
        <v>0</v>
      </c>
      <c r="AW258" s="77">
        <f t="shared" si="355"/>
        <v>0</v>
      </c>
      <c r="AX258" s="77">
        <f t="shared" si="356"/>
        <v>0</v>
      </c>
      <c r="AY258" s="77">
        <f t="shared" si="357"/>
        <v>0</v>
      </c>
      <c r="AZ258" s="77">
        <f t="shared" si="358"/>
        <v>0</v>
      </c>
      <c r="BA258" s="77">
        <f t="shared" si="359"/>
        <v>0</v>
      </c>
      <c r="BB258" s="77">
        <f t="shared" si="360"/>
        <v>0</v>
      </c>
      <c r="BC258" s="77">
        <f t="shared" si="296"/>
        <v>0</v>
      </c>
      <c r="BD258" s="77">
        <f t="shared" si="361"/>
        <v>0</v>
      </c>
      <c r="BE258" s="77">
        <f>'DIVISION BUDGETS'!D35</f>
        <v>1900</v>
      </c>
      <c r="BF258" s="77">
        <f t="shared" si="362"/>
        <v>0</v>
      </c>
      <c r="BG258" s="77">
        <f>VLOOKUP($AJ258,BENE!$I$2:$N$9,6,FALSE)*'Position Control'!$H258</f>
        <v>0</v>
      </c>
      <c r="BH258" s="77">
        <f>VLOOKUP($AK258,BENE!$A$2:$F$19,6,FALSE)*'Position Control'!$H258</f>
        <v>0</v>
      </c>
      <c r="BI258" s="77">
        <f>VLOOKUP($AK258,BENE!$A$2:$G$19,7,FALSE)*'Position Control'!$H258</f>
        <v>0</v>
      </c>
      <c r="BJ258" s="77">
        <f>VLOOKUP($AL258,BENE!$P$2:$S$6,4,FALSE)*'Position Control'!$H258</f>
        <v>0</v>
      </c>
      <c r="BK258" s="77">
        <f>IF($F258&gt;HRS!$H$2,ROUNDUP(((($AN258+$BE258)*$BK$3)/12*9)+(($AN258+$BE258)*HRS!$B$10/12*3),0),0)*$H258</f>
        <v>321</v>
      </c>
      <c r="BL258" s="80">
        <f t="shared" si="363"/>
        <v>0</v>
      </c>
      <c r="BM258" s="77">
        <f t="shared" si="364"/>
        <v>0</v>
      </c>
      <c r="BN258" s="77">
        <f t="shared" si="365"/>
        <v>0</v>
      </c>
      <c r="BO258" s="77">
        <f t="shared" si="366"/>
        <v>0</v>
      </c>
      <c r="BP258" s="77">
        <f t="shared" si="367"/>
        <v>0</v>
      </c>
      <c r="BQ258" s="77">
        <f>'DIVISION BUDGETS'!G35</f>
        <v>240</v>
      </c>
      <c r="BR258" s="80">
        <f t="shared" si="368"/>
        <v>2461</v>
      </c>
    </row>
    <row r="259" spans="1:70" s="171" customFormat="1" x14ac:dyDescent="0.35">
      <c r="A259" s="161"/>
      <c r="B259" s="161"/>
      <c r="C259" s="161"/>
      <c r="D259" s="161"/>
      <c r="E259" s="161"/>
      <c r="F259" s="162"/>
      <c r="G259" s="163">
        <f>SUBTOTAL(9,G252:G258)</f>
        <v>6</v>
      </c>
      <c r="H259" s="163"/>
      <c r="I259" s="161" t="s">
        <v>567</v>
      </c>
      <c r="J259" s="161"/>
      <c r="K259" s="161"/>
      <c r="L259" s="164"/>
      <c r="M259" s="161"/>
      <c r="N259" s="161"/>
      <c r="O259" s="161"/>
      <c r="P259" s="161"/>
      <c r="Q259" s="186"/>
      <c r="R259" s="200"/>
      <c r="S259" s="208"/>
      <c r="T259" s="163"/>
      <c r="U259" s="161"/>
      <c r="V259" s="165"/>
      <c r="W259" s="166"/>
      <c r="X259" s="165"/>
      <c r="Y259" s="166"/>
      <c r="Z259" s="161"/>
      <c r="AA259" s="167"/>
      <c r="AB259" s="164"/>
      <c r="AC259" s="168"/>
      <c r="AD259" s="168"/>
      <c r="AE259" s="168"/>
      <c r="AF259" s="168"/>
      <c r="AG259" s="168"/>
      <c r="AH259" s="168"/>
      <c r="AI259" s="168"/>
      <c r="AJ259" s="161"/>
      <c r="AK259" s="161"/>
      <c r="AL259" s="161"/>
      <c r="AM259" s="169"/>
      <c r="AN259" s="189">
        <f>SUBTOTAL(9,AN252:AN258)</f>
        <v>242452</v>
      </c>
      <c r="AO259" s="170">
        <f>SUBTOTAL(9,AO252:AO258)</f>
        <v>242452</v>
      </c>
      <c r="AP259" s="170">
        <f t="shared" ref="AP259:BR259" si="369">SUBTOTAL(9,AP252:AP258)</f>
        <v>0</v>
      </c>
      <c r="AQ259" s="170">
        <f t="shared" si="369"/>
        <v>0</v>
      </c>
      <c r="AR259" s="170">
        <f t="shared" si="369"/>
        <v>0</v>
      </c>
      <c r="AS259" s="170">
        <f t="shared" si="369"/>
        <v>0</v>
      </c>
      <c r="AT259" s="170">
        <f t="shared" si="369"/>
        <v>0</v>
      </c>
      <c r="AU259" s="170">
        <f t="shared" si="369"/>
        <v>0</v>
      </c>
      <c r="AV259" s="170">
        <f t="shared" si="369"/>
        <v>0</v>
      </c>
      <c r="AW259" s="170">
        <f t="shared" si="369"/>
        <v>0</v>
      </c>
      <c r="AX259" s="170">
        <f t="shared" si="369"/>
        <v>0</v>
      </c>
      <c r="AY259" s="170">
        <f t="shared" si="369"/>
        <v>0</v>
      </c>
      <c r="AZ259" s="170">
        <f t="shared" si="369"/>
        <v>0</v>
      </c>
      <c r="BA259" s="170">
        <f t="shared" si="369"/>
        <v>0</v>
      </c>
      <c r="BB259" s="170">
        <f t="shared" si="369"/>
        <v>0</v>
      </c>
      <c r="BC259" s="170">
        <f t="shared" si="369"/>
        <v>0</v>
      </c>
      <c r="BD259" s="170">
        <f t="shared" si="369"/>
        <v>2015</v>
      </c>
      <c r="BE259" s="170">
        <f t="shared" si="369"/>
        <v>1900</v>
      </c>
      <c r="BF259" s="170">
        <f t="shared" si="369"/>
        <v>584.40000000000009</v>
      </c>
      <c r="BG259" s="170">
        <f t="shared" si="369"/>
        <v>1927</v>
      </c>
      <c r="BH259" s="170">
        <f t="shared" si="369"/>
        <v>34126</v>
      </c>
      <c r="BI259" s="170">
        <f t="shared" si="369"/>
        <v>4500</v>
      </c>
      <c r="BJ259" s="170">
        <f t="shared" si="369"/>
        <v>720</v>
      </c>
      <c r="BK259" s="170">
        <f t="shared" si="369"/>
        <v>41201</v>
      </c>
      <c r="BL259" s="170">
        <f t="shared" si="369"/>
        <v>250</v>
      </c>
      <c r="BM259" s="170">
        <f t="shared" si="369"/>
        <v>720</v>
      </c>
      <c r="BN259" s="170">
        <f t="shared" si="369"/>
        <v>3518</v>
      </c>
      <c r="BO259" s="170">
        <f t="shared" si="369"/>
        <v>436</v>
      </c>
      <c r="BP259" s="170">
        <f t="shared" si="369"/>
        <v>1750</v>
      </c>
      <c r="BQ259" s="170">
        <f t="shared" si="369"/>
        <v>240</v>
      </c>
      <c r="BR259" s="170">
        <f t="shared" si="369"/>
        <v>336339.39999999997</v>
      </c>
    </row>
    <row r="260" spans="1:70" outlineLevel="1" x14ac:dyDescent="0.35">
      <c r="A260" s="1" t="s">
        <v>6</v>
      </c>
      <c r="B260" s="1" t="s">
        <v>7</v>
      </c>
      <c r="C260" s="1" t="s">
        <v>247</v>
      </c>
      <c r="D260" s="1" t="s">
        <v>56</v>
      </c>
      <c r="E260" s="1" t="s">
        <v>47</v>
      </c>
      <c r="F260" s="2">
        <v>1</v>
      </c>
      <c r="G260" s="66">
        <v>1</v>
      </c>
      <c r="H260" s="66">
        <v>1</v>
      </c>
      <c r="I260" s="1" t="s">
        <v>611</v>
      </c>
      <c r="J260" s="1" t="s">
        <v>612</v>
      </c>
      <c r="K260" s="1" t="s">
        <v>251</v>
      </c>
      <c r="L260" s="76" t="str">
        <f>IF(M260="","N",STEP!$J$22)</f>
        <v>N</v>
      </c>
      <c r="M260" s="1" t="s">
        <v>11</v>
      </c>
      <c r="N260" s="1" t="s">
        <v>11</v>
      </c>
      <c r="O260" s="1" t="s">
        <v>11</v>
      </c>
      <c r="P260" s="1"/>
      <c r="Q260" s="185">
        <v>20180702</v>
      </c>
      <c r="R260" s="196">
        <v>43283</v>
      </c>
      <c r="S260" s="197">
        <f>IF(A260="FT",IF(R260&gt;$S$1,0,(DATEDIF(R260,$S$1,"M"))),0)</f>
        <v>50</v>
      </c>
      <c r="T260" s="66">
        <f>ROUNDDOWN(IF(A260="FT",DATEDIF(R260,$T$1,"y"),0),0)</f>
        <v>5</v>
      </c>
      <c r="U260" s="65" t="s">
        <v>11</v>
      </c>
      <c r="V260" s="70">
        <v>37.364699999999999</v>
      </c>
      <c r="W260" s="74" t="str">
        <f t="shared" si="298"/>
        <v/>
      </c>
      <c r="X260" s="70" t="str" cm="1">
        <f t="array" ref="X260">IF(U260="","",INDEX(STEP!$C:$C,MATCH('Position Control'!M260&amp;'Position Control'!P260,STEP!$A:$A&amp;STEP!$B:$B,0)))</f>
        <v/>
      </c>
      <c r="Y260" s="74" t="str">
        <f>IF(L260="Y",(20221001-U260)/10000,"")</f>
        <v/>
      </c>
      <c r="Z260" s="1">
        <v>5506</v>
      </c>
      <c r="AA260" s="112">
        <f>VLOOKUP(Z260,'WRK COMP'!$A$1:$E$17,5,FALSE)</f>
        <v>1.8898000000000002E-2</v>
      </c>
      <c r="AB260" s="76" t="s">
        <v>13</v>
      </c>
      <c r="AC260" s="68">
        <v>0</v>
      </c>
      <c r="AD260" s="68">
        <v>11.54</v>
      </c>
      <c r="AE260" s="68">
        <v>0</v>
      </c>
      <c r="AF260" s="68">
        <v>0</v>
      </c>
      <c r="AG260" s="68">
        <v>0</v>
      </c>
      <c r="AH260" s="68">
        <v>12.5</v>
      </c>
      <c r="AI260" s="68">
        <v>0</v>
      </c>
      <c r="AJ260" s="9" t="s">
        <v>49</v>
      </c>
      <c r="AK260" s="1" t="s">
        <v>15</v>
      </c>
      <c r="AL260" s="1" t="s">
        <v>16</v>
      </c>
      <c r="AM260" s="78">
        <f>IF(F260&gt;0.79,IF(ROUNDUP(IF(B260="FS",(V260*HRS!$B$9),(V260*HRS!$L$2))*2,-3)&gt;150000,150000,(ROUNDUP(IF(B260="FS",(V260*HRS!$B$9),(V260*HRS!$L$2))*2,-3))),0)</f>
        <v>150000</v>
      </c>
      <c r="AN260" s="188">
        <f t="shared" ref="AN260:AN264" si="370">SUM(AO260:BB260)</f>
        <v>78920</v>
      </c>
      <c r="AO260" s="77">
        <f>IF(L260="N",IF(B260="FS",ROUNDUP($V260*HRS!$B$9*'Position Control'!F260,0),ROUNDUP('Position Control'!$V260*HRS!$L$2*'Position Control'!F260,0)),IF('Position Control'!B260="FS",ROUNDUP(('Position Control'!V260*HRS!$B$9*'Position Control'!W260*'Position Control'!F260)+('Position Control'!X260*HRS!$B$9*'Position Control'!Y260*'Position Control'!F260),0),ROUNDUP(('Position Control'!V260*HRS!$L$2*'Position Control'!W260*'Position Control'!F260)+('Position Control'!X260*HRS!$L$2*'Position Control'!Y260*'Position Control'!F260),0)))*'Position Control'!H260</f>
        <v>77719</v>
      </c>
      <c r="AP260" s="77">
        <f>ROUNDUP(52*AC260,0)*H260</f>
        <v>0</v>
      </c>
      <c r="AQ260" s="77">
        <f>IF(B260="FS",ROUNDUP(24*AD260,0),IF(B260="POL",ROUNDUP(26*AD260,0),ROUNDUP(52*AD260,0)))*$H260</f>
        <v>601</v>
      </c>
      <c r="AR260" s="77">
        <f>IF(B260="FS",ROUNDUP(AG260*24,0),ROUNDUP(52*AG260,0))*H260</f>
        <v>0</v>
      </c>
      <c r="AS260" s="77">
        <v>0</v>
      </c>
      <c r="AT260" s="79">
        <f>ROUNDUP(26*AF260,0)*H260</f>
        <v>0</v>
      </c>
      <c r="AU260" s="77">
        <f>IF(B260="FS",ROUNDUP(24*AH260,0),IF(B260="POL",ROUNDUP(26*AH260,0),ROUNDUP(48*AH260,0)))*$H260</f>
        <v>600</v>
      </c>
      <c r="AV260" s="77">
        <v>0</v>
      </c>
      <c r="AW260" s="77">
        <f>IF(B260="FS",ROUNDUP(24*AE260,0),IF(B260="POL",ROUNDUP(26*AE260,0),ROUNDUP(52*AE260,0)))*$H260</f>
        <v>0</v>
      </c>
      <c r="AX260" s="77">
        <f>IF(AND(Q260&lt;20220401,A260&lt;&gt;"SP"),($AX$3*(AO260+BE260)),0)</f>
        <v>0</v>
      </c>
      <c r="AY260" s="77">
        <f>IF(AND($L260="N",$Q260&lt;20220401,$A260&lt;&gt;"SP",$AO260&lt;100000),($AY$3*($AO260+$BE260)),0)</f>
        <v>0</v>
      </c>
      <c r="AZ260" s="77">
        <f>IF(AND($L260="N",$Q260&lt;20220401,$A260&lt;&gt;"SP",$AO260&gt;100000),($AZ$3*($AO260+$BE260)),0)</f>
        <v>0</v>
      </c>
      <c r="BA260" s="77">
        <f>IF(AND($L260="N",$Q260&lt;20220401,$A260&lt;&gt;"SP"),($BA$3*($AO260+$BE260)),0)</f>
        <v>0</v>
      </c>
      <c r="BB260" s="77">
        <f>IF(AND($L260="Y",$Q260&lt;20220401,$A260&lt;&gt;"SP"),($BB$3*($AO260+$BE260)),0)</f>
        <v>0</v>
      </c>
      <c r="BC260" s="77">
        <f t="shared" si="296"/>
        <v>0</v>
      </c>
      <c r="BD260" s="77">
        <f>IF($S260&gt;=12,IF(($S260*5)&gt;1200,1200,$S260*5),0)*$H260</f>
        <v>250</v>
      </c>
      <c r="BE260" s="77">
        <v>0</v>
      </c>
      <c r="BF260" s="77">
        <f>$AM260*$BF$3*12*$H260</f>
        <v>180</v>
      </c>
      <c r="BG260" s="77">
        <f>VLOOKUP($AJ260,BENE!$I$2:$N$9,6,FALSE)*'Position Control'!$H260</f>
        <v>0</v>
      </c>
      <c r="BH260" s="77">
        <f>VLOOKUP($AK260,BENE!$A$2:$F$19,6,FALSE)*'Position Control'!$H260</f>
        <v>6142</v>
      </c>
      <c r="BI260" s="77">
        <f>VLOOKUP($AK260,BENE!$A$2:$G$19,7,FALSE)*'Position Control'!$H260</f>
        <v>1000</v>
      </c>
      <c r="BJ260" s="77">
        <f>VLOOKUP($AL260,BENE!$P$2:$S$6,4,FALSE)*'Position Control'!$H260</f>
        <v>240</v>
      </c>
      <c r="BK260" s="77">
        <f>IF($F260&gt;HRS!$H$2,ROUNDUP(((($AN260+$BE260)*$BK$3)/12*9)+(($AN260+$BE260)*HRS!$B$10/12*3),0),0)*$H260</f>
        <v>13306</v>
      </c>
      <c r="BL260" s="80">
        <f>ROUNDUP($AN260*$AA260,0)*$H260</f>
        <v>1492</v>
      </c>
      <c r="BM260" s="77">
        <f>ROUNDUP(IF($AN260&gt;9000,$BM$3*9000,$BM$3*$AN260),0)*$H260</f>
        <v>144</v>
      </c>
      <c r="BN260" s="77">
        <f>IF($AB260="Y",ROUNDUP($AN260*$BN$3,0),0)*$H260</f>
        <v>1145</v>
      </c>
      <c r="BO260" s="77">
        <f>IF($A260&lt;&gt;"SP",ROUND($BO$3*$AN260,0)*$H260,0)</f>
        <v>142</v>
      </c>
      <c r="BP260" s="77">
        <f>IF($T260&gt;24,2000,IF($T260&gt;19,1750,IF($T260&gt;14,1500,IF($T260&gt;9.9999999999999,1000,0))))*$H260</f>
        <v>0</v>
      </c>
      <c r="BQ260" s="77">
        <v>0</v>
      </c>
      <c r="BR260" s="80">
        <f t="shared" ref="BR260:BR264" si="371">SUM(AO260:AW260)+SUM(BC260:BQ260)</f>
        <v>102961</v>
      </c>
    </row>
    <row r="261" spans="1:70" outlineLevel="1" x14ac:dyDescent="0.35">
      <c r="A261" s="1" t="s">
        <v>6</v>
      </c>
      <c r="B261" s="1" t="s">
        <v>7</v>
      </c>
      <c r="C261" s="1" t="s">
        <v>247</v>
      </c>
      <c r="D261" s="1" t="s">
        <v>56</v>
      </c>
      <c r="E261" s="1" t="s">
        <v>47</v>
      </c>
      <c r="F261" s="2">
        <v>1</v>
      </c>
      <c r="G261" s="66">
        <v>1</v>
      </c>
      <c r="H261" s="66">
        <v>1</v>
      </c>
      <c r="I261" s="1" t="s">
        <v>611</v>
      </c>
      <c r="J261" s="1" t="s">
        <v>612</v>
      </c>
      <c r="K261" s="1" t="s">
        <v>250</v>
      </c>
      <c r="L261" s="76" t="str">
        <f>IF(M261="","N",STEP!$J$22)</f>
        <v>N</v>
      </c>
      <c r="M261" s="1" t="s">
        <v>11</v>
      </c>
      <c r="N261" s="1" t="s">
        <v>11</v>
      </c>
      <c r="O261" s="1" t="s">
        <v>11</v>
      </c>
      <c r="P261" s="1"/>
      <c r="Q261" s="185">
        <v>20211101</v>
      </c>
      <c r="R261" s="196">
        <v>38999</v>
      </c>
      <c r="S261" s="197">
        <f>IF(A261="FT",IF(R261&gt;$S$1,0,(DATEDIF(R261,$S$1,"M"))),0)</f>
        <v>191</v>
      </c>
      <c r="T261" s="66">
        <f>ROUNDDOWN(IF(A261="FT",DATEDIF(R261,$T$1,"y"),0),0)</f>
        <v>16</v>
      </c>
      <c r="U261" s="65" t="s">
        <v>11</v>
      </c>
      <c r="V261" s="70">
        <v>23.9282</v>
      </c>
      <c r="W261" s="74" t="str">
        <f t="shared" si="298"/>
        <v/>
      </c>
      <c r="X261" s="70" t="str" cm="1">
        <f t="array" ref="X261">IF(U261="","",INDEX(STEP!$C:$C,MATCH('Position Control'!M261&amp;'Position Control'!P261,STEP!$A:$A&amp;STEP!$B:$B,0)))</f>
        <v/>
      </c>
      <c r="Y261" s="74" t="str">
        <f>IF(L261="Y",(20221001-U261)/10000,"")</f>
        <v/>
      </c>
      <c r="Z261" s="1">
        <v>7520</v>
      </c>
      <c r="AA261" s="112">
        <f>VLOOKUP(Z261,'WRK COMP'!$A$1:$E$17,5,FALSE)</f>
        <v>1.116E-2</v>
      </c>
      <c r="AB261" s="76" t="s">
        <v>13</v>
      </c>
      <c r="AC261" s="68">
        <v>0</v>
      </c>
      <c r="AD261" s="68">
        <v>23.08</v>
      </c>
      <c r="AE261" s="68">
        <v>0</v>
      </c>
      <c r="AF261" s="68">
        <v>0</v>
      </c>
      <c r="AG261" s="68">
        <v>0</v>
      </c>
      <c r="AH261" s="68">
        <v>0</v>
      </c>
      <c r="AI261" s="68">
        <v>0</v>
      </c>
      <c r="AJ261" s="1" t="s">
        <v>61</v>
      </c>
      <c r="AK261" s="1" t="s">
        <v>35</v>
      </c>
      <c r="AL261" s="1" t="s">
        <v>36</v>
      </c>
      <c r="AM261" s="78">
        <f>IF(F261&gt;0.79,IF(ROUNDUP(IF(B261="FS",(V261*HRS!$B$9),(V261*HRS!$L$2))*2,-3)&gt;150000,150000,(ROUNDUP(IF(B261="FS",(V261*HRS!$B$9),(V261*HRS!$L$2))*2,-3))),0)</f>
        <v>100000</v>
      </c>
      <c r="AN261" s="188">
        <f t="shared" si="370"/>
        <v>50972</v>
      </c>
      <c r="AO261" s="77">
        <f>IF(L261="N",IF(B261="FS",ROUNDUP($V261*HRS!$B$9*'Position Control'!F261,0),ROUNDUP('Position Control'!$V261*HRS!$L$2*'Position Control'!F261,0)),IF('Position Control'!B261="FS",ROUNDUP(('Position Control'!V261*HRS!$B$9*'Position Control'!W261*'Position Control'!F261)+('Position Control'!X261*HRS!$B$9*'Position Control'!Y261*'Position Control'!F261),0),ROUNDUP(('Position Control'!V261*HRS!$L$2*'Position Control'!W261*'Position Control'!F261)+('Position Control'!X261*HRS!$L$2*'Position Control'!Y261*'Position Control'!F261),0)))*'Position Control'!H261</f>
        <v>49771</v>
      </c>
      <c r="AP261" s="77">
        <f>ROUNDUP(52*AC261,0)*H261</f>
        <v>0</v>
      </c>
      <c r="AQ261" s="77">
        <f>IF(B261="FS",ROUNDUP(24*AD261,0),IF(B261="POL",ROUNDUP(26*AD261,0),ROUNDUP(52*AD261,0)))*$H261</f>
        <v>1201</v>
      </c>
      <c r="AR261" s="77">
        <f>IF(B261="FS",ROUNDUP(AG261*24,0),ROUNDUP(52*AG261,0))*H261</f>
        <v>0</v>
      </c>
      <c r="AS261" s="77">
        <v>0</v>
      </c>
      <c r="AT261" s="79">
        <f>ROUNDUP(26*AF261,0)*H261</f>
        <v>0</v>
      </c>
      <c r="AU261" s="77">
        <f>IF(B261="FS",ROUNDUP(24*AH261,0),IF(B261="POL",ROUNDUP(26*AH261,0),ROUNDUP(48*AH261,0)))*$H261</f>
        <v>0</v>
      </c>
      <c r="AV261" s="77">
        <v>0</v>
      </c>
      <c r="AW261" s="77">
        <f>IF(B261="FS",ROUNDUP(24*AE261,0),IF(B261="POL",ROUNDUP(26*AE261,0),ROUNDUP(52*AE261,0)))*$H261</f>
        <v>0</v>
      </c>
      <c r="AX261" s="77">
        <f>IF(AND(Q261&lt;20220401,A261&lt;&gt;"SP"),($AX$3*(AO261+BE261)),0)</f>
        <v>0</v>
      </c>
      <c r="AY261" s="77">
        <f>IF(AND($L261="N",$Q261&lt;20220401,$A261&lt;&gt;"SP",$AO261&lt;100000),($AY$3*($AO261+$BE261)),0)</f>
        <v>0</v>
      </c>
      <c r="AZ261" s="77">
        <f>IF(AND($L261="N",$Q261&lt;20220401,$A261&lt;&gt;"SP",$AO261&gt;100000),($AZ$3*($AO261+$BE261)),0)</f>
        <v>0</v>
      </c>
      <c r="BA261" s="77">
        <f>IF(AND($L261="N",$Q261&lt;20220401,$A261&lt;&gt;"SP"),($BA$3*($AO261+$BE261)),0)</f>
        <v>0</v>
      </c>
      <c r="BB261" s="77">
        <f>IF(AND($L261="Y",$Q261&lt;20220401,$A261&lt;&gt;"SP"),($BB$3*($AO261+$BE261)),0)</f>
        <v>0</v>
      </c>
      <c r="BC261" s="77">
        <f t="shared" si="296"/>
        <v>0</v>
      </c>
      <c r="BD261" s="77">
        <f>IF($S261&gt;=12,IF(($S261*5)&gt;1200,1200,$S261*5),0)*$H261</f>
        <v>955</v>
      </c>
      <c r="BE261" s="77">
        <v>0</v>
      </c>
      <c r="BF261" s="77">
        <f>$AM261*$BF$3*12*$H261</f>
        <v>120</v>
      </c>
      <c r="BG261" s="77">
        <f>VLOOKUP($AJ261,BENE!$I$2:$N$9,6,FALSE)*'Position Control'!$H261</f>
        <v>311</v>
      </c>
      <c r="BH261" s="77">
        <f>VLOOKUP($AK261,BENE!$A$2:$F$19,6,FALSE)*'Position Control'!$H261</f>
        <v>10067</v>
      </c>
      <c r="BI261" s="77">
        <f>VLOOKUP($AK261,BENE!$A$2:$G$19,7,FALSE)*'Position Control'!$H261</f>
        <v>1500</v>
      </c>
      <c r="BJ261" s="77">
        <f>VLOOKUP($AL261,BENE!$P$2:$S$6,4,FALSE)*'Position Control'!$H261</f>
        <v>312</v>
      </c>
      <c r="BK261" s="77">
        <f>IF($F261&gt;HRS!$H$2,ROUNDUP(((($AN261+$BE261)*$BK$3)/12*9)+(($AN261+$BE261)*HRS!$B$10/12*3),0),0)*$H261</f>
        <v>8594</v>
      </c>
      <c r="BL261" s="80">
        <f>ROUNDUP($AN261*$AA261,0)*$H261</f>
        <v>569</v>
      </c>
      <c r="BM261" s="77">
        <f>ROUNDUP(IF($AN261&gt;9000,$BM$3*9000,$BM$3*$AN261),0)*$H261</f>
        <v>144</v>
      </c>
      <c r="BN261" s="77">
        <f>IF($AB261="Y",ROUNDUP($AN261*$BN$3,0),0)*$H261</f>
        <v>740</v>
      </c>
      <c r="BO261" s="77">
        <f>IF($A261&lt;&gt;"SP",ROUND($BO$3*$AN261,0)*$H261,0)</f>
        <v>92</v>
      </c>
      <c r="BP261" s="77">
        <f>IF($T261&gt;24,2000,IF($T261&gt;19,1750,IF($T261&gt;14,1500,IF($T261&gt;9.9999999999999,1000,0))))*$H261</f>
        <v>1500</v>
      </c>
      <c r="BQ261" s="77">
        <v>0</v>
      </c>
      <c r="BR261" s="80">
        <f t="shared" si="371"/>
        <v>75876</v>
      </c>
    </row>
    <row r="262" spans="1:70" outlineLevel="1" x14ac:dyDescent="0.35">
      <c r="A262" s="1" t="s">
        <v>6</v>
      </c>
      <c r="B262" s="1" t="s">
        <v>7</v>
      </c>
      <c r="C262" s="1" t="s">
        <v>247</v>
      </c>
      <c r="D262" s="1" t="s">
        <v>56</v>
      </c>
      <c r="E262" s="1" t="s">
        <v>47</v>
      </c>
      <c r="F262" s="2">
        <v>1</v>
      </c>
      <c r="G262" s="66">
        <v>1</v>
      </c>
      <c r="H262" s="66">
        <v>1</v>
      </c>
      <c r="I262" s="1" t="s">
        <v>611</v>
      </c>
      <c r="J262" s="1" t="s">
        <v>612</v>
      </c>
      <c r="K262" s="1" t="s">
        <v>249</v>
      </c>
      <c r="L262" s="76" t="str">
        <f>IF(M262="","N",STEP!$J$22)</f>
        <v>N</v>
      </c>
      <c r="M262" s="1" t="s">
        <v>11</v>
      </c>
      <c r="N262" s="1" t="s">
        <v>11</v>
      </c>
      <c r="O262" s="1" t="s">
        <v>11</v>
      </c>
      <c r="P262" s="1"/>
      <c r="Q262" s="185">
        <v>20220425</v>
      </c>
      <c r="R262" s="196">
        <v>44676</v>
      </c>
      <c r="S262" s="197">
        <f>IF(A262="FT",IF(R262&gt;$S$1,0,(DATEDIF(R262,$S$1,"M"))),0)</f>
        <v>5</v>
      </c>
      <c r="T262" s="66">
        <f>ROUNDDOWN(IF(A262="FT",DATEDIF(R262,$T$1,"y"),0),0)</f>
        <v>1</v>
      </c>
      <c r="U262" s="65" t="s">
        <v>11</v>
      </c>
      <c r="V262" s="70">
        <v>18.6938</v>
      </c>
      <c r="W262" s="74" t="str">
        <f t="shared" si="298"/>
        <v/>
      </c>
      <c r="X262" s="70" t="str" cm="1">
        <f t="array" ref="X262">IF(U262="","",INDEX(STEP!$C:$C,MATCH('Position Control'!M262&amp;'Position Control'!P262,STEP!$A:$A&amp;STEP!$B:$B,0)))</f>
        <v/>
      </c>
      <c r="Y262" s="74" t="str">
        <f>IF(L262="Y",(20221001-U262)/10000,"")</f>
        <v/>
      </c>
      <c r="Z262" s="1">
        <v>7520</v>
      </c>
      <c r="AA262" s="112">
        <f>VLOOKUP(Z262,'WRK COMP'!$A$1:$E$17,5,FALSE)</f>
        <v>1.116E-2</v>
      </c>
      <c r="AB262" s="76" t="s">
        <v>13</v>
      </c>
      <c r="AC262" s="68">
        <v>0</v>
      </c>
      <c r="AD262" s="68">
        <v>0</v>
      </c>
      <c r="AE262" s="68">
        <v>0</v>
      </c>
      <c r="AF262" s="68">
        <v>0</v>
      </c>
      <c r="AG262" s="68">
        <v>0</v>
      </c>
      <c r="AH262" s="68">
        <v>0</v>
      </c>
      <c r="AI262" s="68">
        <v>0</v>
      </c>
      <c r="AJ262" s="10" t="s">
        <v>49</v>
      </c>
      <c r="AK262" s="10" t="s">
        <v>49</v>
      </c>
      <c r="AL262" s="10" t="s">
        <v>49</v>
      </c>
      <c r="AM262" s="78">
        <f>IF(F262&gt;0.79,IF(ROUNDUP(IF(B262="FS",(V262*HRS!$B$9),(V262*HRS!$L$2))*2,-3)&gt;150000,150000,(ROUNDUP(IF(B262="FS",(V262*HRS!$B$9),(V262*HRS!$L$2))*2,-3))),0)</f>
        <v>78000</v>
      </c>
      <c r="AN262" s="188">
        <f t="shared" si="370"/>
        <v>38884</v>
      </c>
      <c r="AO262" s="77">
        <f>IF(L262="N",IF(B262="FS",ROUNDUP($V262*HRS!$B$9*'Position Control'!F262,0),ROUNDUP('Position Control'!$V262*HRS!$L$2*'Position Control'!F262,0)),IF('Position Control'!B262="FS",ROUNDUP(('Position Control'!V262*HRS!$B$9*'Position Control'!W262*'Position Control'!F262)+('Position Control'!X262*HRS!$B$9*'Position Control'!Y262*'Position Control'!F262),0),ROUNDUP(('Position Control'!V262*HRS!$L$2*'Position Control'!W262*'Position Control'!F262)+('Position Control'!X262*HRS!$L$2*'Position Control'!Y262*'Position Control'!F262),0)))*'Position Control'!H262</f>
        <v>38884</v>
      </c>
      <c r="AP262" s="77">
        <f>ROUNDUP(52*AC262,0)*H262</f>
        <v>0</v>
      </c>
      <c r="AQ262" s="77">
        <f>IF(B262="FS",ROUNDUP(24*AD262,0),IF(B262="POL",ROUNDUP(26*AD262,0),ROUNDUP(52*AD262,0)))*$H262</f>
        <v>0</v>
      </c>
      <c r="AR262" s="77">
        <f>IF(B262="FS",ROUNDUP(AG262*24,0),ROUNDUP(52*AG262,0))*H262</f>
        <v>0</v>
      </c>
      <c r="AS262" s="77">
        <v>0</v>
      </c>
      <c r="AT262" s="79">
        <f>ROUNDUP(26*AF262,0)*H262</f>
        <v>0</v>
      </c>
      <c r="AU262" s="77">
        <f>IF(B262="FS",ROUNDUP(24*AH262,0),IF(B262="POL",ROUNDUP(26*AH262,0),ROUNDUP(48*AH262,0)))*$H262</f>
        <v>0</v>
      </c>
      <c r="AV262" s="77">
        <v>0</v>
      </c>
      <c r="AW262" s="77">
        <f>IF(B262="FS",ROUNDUP(24*AE262,0),IF(B262="POL",ROUNDUP(26*AE262,0),ROUNDUP(52*AE262,0)))*$H262</f>
        <v>0</v>
      </c>
      <c r="AX262" s="77">
        <f>IF(AND(Q262&lt;20220401,A262&lt;&gt;"SP"),($AX$3*(AO262+BE262)),0)</f>
        <v>0</v>
      </c>
      <c r="AY262" s="77">
        <f>IF(AND($L262="N",$Q262&lt;20220401,$A262&lt;&gt;"SP",$AO262&lt;100000),($AY$3*($AO262+$BE262)),0)</f>
        <v>0</v>
      </c>
      <c r="AZ262" s="77">
        <f>IF(AND($L262="N",$Q262&lt;20220401,$A262&lt;&gt;"SP",$AO262&gt;100000),($AZ$3*($AO262+$BE262)),0)</f>
        <v>0</v>
      </c>
      <c r="BA262" s="77">
        <f>IF(AND($L262="N",$Q262&lt;20220401,$A262&lt;&gt;"SP"),($BA$3*($AO262+$BE262)),0)</f>
        <v>0</v>
      </c>
      <c r="BB262" s="77">
        <f>IF(AND($L262="Y",$Q262&lt;20220401,$A262&lt;&gt;"SP"),($BB$3*($AO262+$BE262)),0)</f>
        <v>0</v>
      </c>
      <c r="BC262" s="77">
        <f t="shared" si="296"/>
        <v>0</v>
      </c>
      <c r="BD262" s="77">
        <f>IF($S262&gt;=12,IF(($S262*5)&gt;1200,1200,$S262*5),0)*$H262</f>
        <v>0</v>
      </c>
      <c r="BE262" s="77">
        <v>0</v>
      </c>
      <c r="BF262" s="77">
        <f>$AM262*$BF$3*12*$H262</f>
        <v>93.600000000000009</v>
      </c>
      <c r="BG262" s="77">
        <f>VLOOKUP($AJ262,BENE!$I$2:$N$9,6,FALSE)*'Position Control'!$H262</f>
        <v>0</v>
      </c>
      <c r="BH262" s="77">
        <f>VLOOKUP($AK262,BENE!$A$2:$F$19,6,FALSE)*'Position Control'!$H262</f>
        <v>0</v>
      </c>
      <c r="BI262" s="77">
        <f>VLOOKUP($AK262,BENE!$A$2:$G$19,7,FALSE)*'Position Control'!$H262</f>
        <v>0</v>
      </c>
      <c r="BJ262" s="77">
        <f>VLOOKUP($AL262,BENE!$P$2:$S$6,4,FALSE)*'Position Control'!$H262</f>
        <v>0</v>
      </c>
      <c r="BK262" s="77">
        <f>IF($F262&gt;HRS!$H$2,ROUNDUP(((($AN262+$BE262)*$BK$3)/12*9)+(($AN262+$BE262)*HRS!$B$10/12*3),0),0)*$H262</f>
        <v>6556</v>
      </c>
      <c r="BL262" s="80">
        <f>ROUNDUP($AN262*$AA262,0)*$H262</f>
        <v>434</v>
      </c>
      <c r="BM262" s="77">
        <f>ROUNDUP(IF($AN262&gt;9000,$BM$3*9000,$BM$3*$AN262),0)*$H262</f>
        <v>144</v>
      </c>
      <c r="BN262" s="77">
        <f>IF($AB262="Y",ROUNDUP($AN262*$BN$3,0),0)*$H262</f>
        <v>564</v>
      </c>
      <c r="BO262" s="77">
        <f>IF($A262&lt;&gt;"SP",ROUND($BO$3*$AN262,0)*$H262,0)</f>
        <v>70</v>
      </c>
      <c r="BP262" s="77">
        <f>IF($T262&gt;24,2000,IF($T262&gt;19,1750,IF($T262&gt;14,1500,IF($T262&gt;9.9999999999999,1000,0))))*$H262</f>
        <v>0</v>
      </c>
      <c r="BQ262" s="77">
        <v>0</v>
      </c>
      <c r="BR262" s="80">
        <f t="shared" si="371"/>
        <v>46745.599999999999</v>
      </c>
    </row>
    <row r="263" spans="1:70" outlineLevel="1" x14ac:dyDescent="0.35">
      <c r="A263" s="1" t="s">
        <v>6</v>
      </c>
      <c r="B263" s="1" t="s">
        <v>7</v>
      </c>
      <c r="C263" s="1" t="s">
        <v>247</v>
      </c>
      <c r="D263" s="1" t="s">
        <v>56</v>
      </c>
      <c r="E263" s="1" t="s">
        <v>47</v>
      </c>
      <c r="F263" s="2">
        <v>1</v>
      </c>
      <c r="G263" s="66">
        <v>1</v>
      </c>
      <c r="H263" s="66">
        <v>1</v>
      </c>
      <c r="I263" s="1" t="s">
        <v>411</v>
      </c>
      <c r="J263" s="1" t="s">
        <v>408</v>
      </c>
      <c r="K263" s="1" t="s">
        <v>248</v>
      </c>
      <c r="L263" s="76" t="str">
        <f>IF(M263="","N",STEP!$J$22)</f>
        <v>N</v>
      </c>
      <c r="M263" s="1" t="s">
        <v>11</v>
      </c>
      <c r="N263" s="1" t="s">
        <v>11</v>
      </c>
      <c r="O263" s="1" t="s">
        <v>11</v>
      </c>
      <c r="P263" s="1"/>
      <c r="Q263" s="185">
        <v>20221002</v>
      </c>
      <c r="R263" s="196">
        <v>44836</v>
      </c>
      <c r="S263" s="197">
        <f>IF(A263="FT",IF(R263&gt;$S$1,0,(DATEDIF(R263,$S$1,"M"))),0)</f>
        <v>0</v>
      </c>
      <c r="T263" s="66">
        <f>ROUNDDOWN(IF(A263="FT",DATEDIF(R263,$T$1,"y"),0),0)</f>
        <v>0</v>
      </c>
      <c r="U263" s="65" t="s">
        <v>11</v>
      </c>
      <c r="V263" s="70">
        <v>16.9558</v>
      </c>
      <c r="W263" s="74" t="str">
        <f t="shared" si="298"/>
        <v/>
      </c>
      <c r="X263" s="70" t="str" cm="1">
        <f t="array" ref="X263">IF(U263="","",INDEX(STEP!$C:$C,MATCH('Position Control'!M263&amp;'Position Control'!P263,STEP!$A:$A&amp;STEP!$B:$B,0)))</f>
        <v/>
      </c>
      <c r="Y263" s="74" t="str">
        <f>IF(L263="Y",(20221001-U263)/10000,"")</f>
        <v/>
      </c>
      <c r="Z263" s="1">
        <v>8810</v>
      </c>
      <c r="AA263" s="112">
        <f>VLOOKUP(Z263,'WRK COMP'!$A$1:$E$17,5,FALSE)</f>
        <v>1.0169999999999999E-3</v>
      </c>
      <c r="AB263" s="76" t="s">
        <v>13</v>
      </c>
      <c r="AC263" s="68">
        <v>0</v>
      </c>
      <c r="AD263" s="68">
        <v>0</v>
      </c>
      <c r="AE263" s="68">
        <v>0</v>
      </c>
      <c r="AF263" s="68">
        <v>0</v>
      </c>
      <c r="AG263" s="68">
        <v>0</v>
      </c>
      <c r="AH263" s="68">
        <v>0</v>
      </c>
      <c r="AI263" s="68">
        <v>0</v>
      </c>
      <c r="AJ263" s="10" t="s">
        <v>14</v>
      </c>
      <c r="AK263" s="10" t="s">
        <v>15</v>
      </c>
      <c r="AL263" s="10" t="s">
        <v>16</v>
      </c>
      <c r="AM263" s="78">
        <f>IF(F263&gt;0.79,IF(ROUNDUP(IF(B263="FS",(V263*HRS!$B$9),(V263*HRS!$L$2))*2,-3)&gt;150000,150000,(ROUNDUP(IF(B263="FS",(V263*HRS!$B$9),(V263*HRS!$L$2))*2,-3))),0)</f>
        <v>71000</v>
      </c>
      <c r="AN263" s="188">
        <f t="shared" si="370"/>
        <v>35269</v>
      </c>
      <c r="AO263" s="77">
        <f>IF(L263="N",IF(B263="FS",ROUNDUP($V263*HRS!$B$9*'Position Control'!F263,0),ROUNDUP('Position Control'!$V263*HRS!$L$2*'Position Control'!F263,0)),IF('Position Control'!B263="FS",ROUNDUP(('Position Control'!V263*HRS!$B$9*'Position Control'!W263*'Position Control'!F263)+('Position Control'!X263*HRS!$B$9*'Position Control'!Y263*'Position Control'!F263),0),ROUNDUP(('Position Control'!V263*HRS!$L$2*'Position Control'!W263*'Position Control'!F263)+('Position Control'!X263*HRS!$L$2*'Position Control'!Y263*'Position Control'!F263),0)))*'Position Control'!H263</f>
        <v>35269</v>
      </c>
      <c r="AP263" s="77">
        <f>ROUNDUP(52*AC263,0)*H263</f>
        <v>0</v>
      </c>
      <c r="AQ263" s="77">
        <f>IF(B263="FS",ROUNDUP(24*AD263,0),IF(B263="POL",ROUNDUP(26*AD263,0),ROUNDUP(52*AD263,0)))*$H263</f>
        <v>0</v>
      </c>
      <c r="AR263" s="77">
        <f>IF(B263="FS",ROUNDUP(AG263*24,0),ROUNDUP(52*AG263,0))*H263</f>
        <v>0</v>
      </c>
      <c r="AS263" s="77">
        <v>0</v>
      </c>
      <c r="AT263" s="79">
        <f>ROUNDUP(26*AF263,0)*H263</f>
        <v>0</v>
      </c>
      <c r="AU263" s="77">
        <f>IF(B263="FS",ROUNDUP(24*AH263,0),IF(B263="POL",ROUNDUP(26*AH263,0),ROUNDUP(48*AH263,0)))*$H263</f>
        <v>0</v>
      </c>
      <c r="AV263" s="77">
        <v>0</v>
      </c>
      <c r="AW263" s="77">
        <f>IF(B263="FS",ROUNDUP(24*AE263,0),IF(B263="POL",ROUNDUP(26*AE263,0),ROUNDUP(52*AE263,0)))*$H263</f>
        <v>0</v>
      </c>
      <c r="AX263" s="77">
        <f>IF(AND(Q263&lt;20220401,A263&lt;&gt;"SP"),($AX$3*(AO263+BE263)),0)</f>
        <v>0</v>
      </c>
      <c r="AY263" s="77">
        <f>IF(AND($L263="N",$Q263&lt;20220401,$A263&lt;&gt;"SP",$AO263&lt;100000),($AY$3*($AO263+$BE263)),0)</f>
        <v>0</v>
      </c>
      <c r="AZ263" s="77">
        <f>IF(AND($L263="N",$Q263&lt;20220401,$A263&lt;&gt;"SP",$AO263&gt;100000),($AZ$3*($AO263+$BE263)),0)</f>
        <v>0</v>
      </c>
      <c r="BA263" s="77">
        <f>IF(AND($L263="N",$Q263&lt;20220401,$A263&lt;&gt;"SP"),($BA$3*($AO263+$BE263)),0)</f>
        <v>0</v>
      </c>
      <c r="BB263" s="77">
        <f>IF(AND($L263="Y",$Q263&lt;20220401,$A263&lt;&gt;"SP"),($BB$3*($AO263+$BE263)),0)</f>
        <v>0</v>
      </c>
      <c r="BC263" s="77">
        <f t="shared" si="296"/>
        <v>0</v>
      </c>
      <c r="BD263" s="77">
        <f>IF($S263&gt;=12,IF(($S263*5)&gt;1200,1200,$S263*5),0)*$H263</f>
        <v>0</v>
      </c>
      <c r="BE263" s="77">
        <v>0</v>
      </c>
      <c r="BF263" s="77">
        <f>$AM263*$BF$3*12*$H263</f>
        <v>85.2</v>
      </c>
      <c r="BG263" s="77">
        <f>VLOOKUP($AJ263,BENE!$I$2:$N$9,6,FALSE)*'Position Control'!$H263</f>
        <v>389</v>
      </c>
      <c r="BH263" s="77">
        <f>VLOOKUP($AK263,BENE!$A$2:$F$19,6,FALSE)*'Position Control'!$H263</f>
        <v>6142</v>
      </c>
      <c r="BI263" s="77">
        <f>VLOOKUP($AK263,BENE!$A$2:$G$19,7,FALSE)*'Position Control'!$H263</f>
        <v>1000</v>
      </c>
      <c r="BJ263" s="77">
        <f>VLOOKUP($AL263,BENE!$P$2:$S$6,4,FALSE)*'Position Control'!$H263</f>
        <v>240</v>
      </c>
      <c r="BK263" s="77">
        <f>IF($F263&gt;HRS!$H$2,ROUNDUP(((($AN263+$BE263)*$BK$3)/12*9)+(($AN263+$BE263)*HRS!$B$10/12*3),0),0)*$H263</f>
        <v>5947</v>
      </c>
      <c r="BL263" s="80">
        <f>ROUNDUP($AN263*$AA263,0)*$H263</f>
        <v>36</v>
      </c>
      <c r="BM263" s="77">
        <f>ROUNDUP(IF($AN263&gt;9000,$BM$3*9000,$BM$3*$AN263),0)*$H263</f>
        <v>144</v>
      </c>
      <c r="BN263" s="77">
        <f>IF($AB263="Y",ROUNDUP($AN263*$BN$3,0),0)*$H263</f>
        <v>512</v>
      </c>
      <c r="BO263" s="77">
        <f>IF($A263&lt;&gt;"SP",ROUND($BO$3*$AN263,0)*$H263,0)</f>
        <v>63</v>
      </c>
      <c r="BP263" s="77">
        <f>IF($T263&gt;24,2000,IF($T263&gt;19,1750,IF($T263&gt;14,1500,IF($T263&gt;9.9999999999999,1000,0))))*$H263</f>
        <v>0</v>
      </c>
      <c r="BQ263" s="77">
        <v>0</v>
      </c>
      <c r="BR263" s="80">
        <f t="shared" si="371"/>
        <v>49827.199999999997</v>
      </c>
    </row>
    <row r="264" spans="1:70" outlineLevel="1" x14ac:dyDescent="0.35">
      <c r="A264" s="1" t="s">
        <v>6</v>
      </c>
      <c r="B264" s="1" t="s">
        <v>7</v>
      </c>
      <c r="C264" s="1" t="s">
        <v>247</v>
      </c>
      <c r="D264" s="1" t="s">
        <v>56</v>
      </c>
      <c r="E264" s="1" t="s">
        <v>47</v>
      </c>
      <c r="F264" s="2">
        <v>1</v>
      </c>
      <c r="G264" s="66">
        <v>0</v>
      </c>
      <c r="H264" s="66">
        <v>1</v>
      </c>
      <c r="I264" s="10" t="s">
        <v>409</v>
      </c>
      <c r="J264" s="10" t="s">
        <v>410</v>
      </c>
      <c r="K264" s="1"/>
      <c r="L264" s="76"/>
      <c r="M264" s="1"/>
      <c r="N264" s="1"/>
      <c r="O264" s="1"/>
      <c r="P264" s="1"/>
      <c r="Q264" s="185">
        <v>20221002</v>
      </c>
      <c r="R264" s="196">
        <v>44836</v>
      </c>
      <c r="S264" s="197">
        <f>IF(A264="FT",IF(R264&gt;$S$1,0,(DATEDIF(R264,$S$1,"M"))),0)</f>
        <v>0</v>
      </c>
      <c r="T264" s="66">
        <f>ROUNDDOWN(IF(A264="FT",DATEDIF(R264,$T$1,"y"),0),0)</f>
        <v>0</v>
      </c>
      <c r="U264" s="1"/>
      <c r="V264" s="70">
        <v>0</v>
      </c>
      <c r="W264" s="74"/>
      <c r="X264" s="70"/>
      <c r="Y264" s="74"/>
      <c r="Z264" s="1">
        <v>7520</v>
      </c>
      <c r="AA264" s="112">
        <f>VLOOKUP(Z264,'WRK COMP'!$A$1:$E$17,5,FALSE)</f>
        <v>1.116E-2</v>
      </c>
      <c r="AB264" s="76" t="s">
        <v>13</v>
      </c>
      <c r="AC264" s="68">
        <v>0</v>
      </c>
      <c r="AD264" s="68">
        <v>0</v>
      </c>
      <c r="AE264" s="68">
        <v>0</v>
      </c>
      <c r="AF264" s="68">
        <v>0</v>
      </c>
      <c r="AG264" s="68">
        <v>0</v>
      </c>
      <c r="AH264" s="68">
        <v>0</v>
      </c>
      <c r="AI264" s="68">
        <v>0</v>
      </c>
      <c r="AJ264" s="10" t="s">
        <v>49</v>
      </c>
      <c r="AK264" s="10" t="s">
        <v>49</v>
      </c>
      <c r="AL264" s="10" t="s">
        <v>49</v>
      </c>
      <c r="AM264" s="78">
        <f>IF(F264&gt;0.79,IF(ROUNDUP(IF(B264="FS",(V264*HRS!$B$9),(V264*HRS!$L$2))*2,-3)&gt;150000,150000,(ROUNDUP(IF(B264="FS",(V264*HRS!$B$9),(V264*HRS!$L$2))*2,-3))),0)</f>
        <v>0</v>
      </c>
      <c r="AN264" s="188">
        <f t="shared" si="370"/>
        <v>4030</v>
      </c>
      <c r="AO264" s="77">
        <f>IF(L264="N",IF(B264="FS",ROUNDUP($V264*HRS!$B$9*'Position Control'!F264,0),ROUNDUP('Position Control'!$V264*HRS!$L$2*'Position Control'!F264,0)),IF('Position Control'!B264="FS",ROUNDUP(('Position Control'!V264*HRS!$B$9*'Position Control'!W264*'Position Control'!F264)+('Position Control'!X264*HRS!$B$9*'Position Control'!Y264*'Position Control'!F264),0),ROUNDUP(('Position Control'!V264*HRS!$L$2*'Position Control'!W264*'Position Control'!F264)+('Position Control'!X264*HRS!$L$2*'Position Control'!Y264*'Position Control'!F264),0)))*'Position Control'!H264</f>
        <v>0</v>
      </c>
      <c r="AP264" s="77">
        <f>ROUNDUP(52*AC264,0)*H264</f>
        <v>0</v>
      </c>
      <c r="AQ264" s="77">
        <f>IF(B264="FS",ROUNDUP(24*AD264,0),IF(B264="POL",ROUNDUP(26*AD264,0),ROUNDUP(52*AD264,0)))*$H264</f>
        <v>0</v>
      </c>
      <c r="AR264" s="77">
        <f>IF(B264="FS",ROUNDUP(AG264*24,0),ROUNDUP(52*AG264,0))*H264</f>
        <v>0</v>
      </c>
      <c r="AS264" s="77">
        <v>0</v>
      </c>
      <c r="AT264" s="79">
        <f>ROUNDUP(26*AF264,0)*H264</f>
        <v>0</v>
      </c>
      <c r="AU264" s="77">
        <f>IF(B264="FS",ROUNDUP(24*AH264,0),IF(B264="POL",ROUNDUP(26*AH264,0),ROUNDUP(48*AH264,0)))*$H264</f>
        <v>0</v>
      </c>
      <c r="AV264" s="77">
        <f>'DIVISION BUDGETS'!C36</f>
        <v>4030</v>
      </c>
      <c r="AW264" s="77">
        <f>IF(B264="FS",ROUNDUP(24*AE264,0),IF(B264="POL",ROUNDUP(26*AE264,0),ROUNDUP(52*AE264,0)))*$H264</f>
        <v>0</v>
      </c>
      <c r="AX264" s="77">
        <f>IF(AND(Q264&lt;20220401,A264&lt;&gt;"SP"),($AX$3*(AO264+BE264)),0)</f>
        <v>0</v>
      </c>
      <c r="AY264" s="77">
        <f>IF(AND($L264="N",$Q264&lt;20220401,$A264&lt;&gt;"SP",$AO264&lt;100000),($AY$3*($AO264+$BE264)),0)</f>
        <v>0</v>
      </c>
      <c r="AZ264" s="77">
        <f>IF(AND($L264="N",$Q264&lt;20220401,$A264&lt;&gt;"SP",$AO264&gt;100000),($AZ$3*($AO264+$BE264)),0)</f>
        <v>0</v>
      </c>
      <c r="BA264" s="77">
        <f>IF(AND($L264="N",$Q264&lt;20220401,$A264&lt;&gt;"SP"),($BA$3*($AO264+$BE264)),0)</f>
        <v>0</v>
      </c>
      <c r="BB264" s="77">
        <f>IF(AND($L264="Y",$Q264&lt;20220401,$A264&lt;&gt;"SP"),($BB$3*($AO264+$BE264)),0)</f>
        <v>0</v>
      </c>
      <c r="BC264" s="77">
        <f t="shared" si="296"/>
        <v>0</v>
      </c>
      <c r="BD264" s="77">
        <f>IF($S264&gt;=12,IF(($S264*5)&gt;1200,1200,$S264*5),0)*$H264</f>
        <v>0</v>
      </c>
      <c r="BE264" s="77">
        <f>'DIVISION BUDGETS'!D36</f>
        <v>5500</v>
      </c>
      <c r="BF264" s="77">
        <f>$AM264*$BF$3*12*$H264</f>
        <v>0</v>
      </c>
      <c r="BG264" s="77">
        <f>VLOOKUP($AJ264,BENE!$I$2:$N$9,6,FALSE)*'Position Control'!$H264</f>
        <v>0</v>
      </c>
      <c r="BH264" s="77">
        <f>VLOOKUP($AK264,BENE!$A$2:$F$19,6,FALSE)*'Position Control'!$H264</f>
        <v>0</v>
      </c>
      <c r="BI264" s="77">
        <f>VLOOKUP($AK264,BENE!$A$2:$G$19,7,FALSE)*'Position Control'!$H264</f>
        <v>0</v>
      </c>
      <c r="BJ264" s="77">
        <f>VLOOKUP($AL264,BENE!$P$2:$S$6,4,FALSE)*'Position Control'!$H264</f>
        <v>0</v>
      </c>
      <c r="BK264" s="77">
        <f>IF($F264&gt;HRS!$H$2,ROUNDUP(((($AN264+$BE264)*$BK$3)/12*9)+(($AN264+$BE264)*HRS!$B$10/12*3),0),0)*$H264</f>
        <v>1607</v>
      </c>
      <c r="BL264" s="80">
        <f>ROUNDUP($AN264*$AA264,0)*$H264</f>
        <v>45</v>
      </c>
      <c r="BM264" s="77">
        <f>ROUNDUP(IF($AN264&gt;9000,$BM$3*9000,$BM$3*$AN264),0)*$H264</f>
        <v>65</v>
      </c>
      <c r="BN264" s="77">
        <f>IF($AB264="Y",ROUNDUP($AN264*$BN$3,0),0)*$H264</f>
        <v>59</v>
      </c>
      <c r="BO264" s="77">
        <f>IF($A264&lt;&gt;"SP",ROUND($BO$3*$AN264,0)*$H264,0)</f>
        <v>7</v>
      </c>
      <c r="BP264" s="77">
        <f>IF($T264&gt;24,2000,IF($T264&gt;19,1750,IF($T264&gt;14,1500,IF($T264&gt;9.9999999999999,1000,0))))*$H264</f>
        <v>0</v>
      </c>
      <c r="BQ264" s="77">
        <v>0</v>
      </c>
      <c r="BR264" s="80">
        <f t="shared" si="371"/>
        <v>11313</v>
      </c>
    </row>
    <row r="265" spans="1:70" s="179" customFormat="1" ht="13" x14ac:dyDescent="0.3">
      <c r="A265" s="172"/>
      <c r="B265" s="172"/>
      <c r="C265" s="172"/>
      <c r="D265" s="172"/>
      <c r="E265" s="172"/>
      <c r="F265" s="172"/>
      <c r="G265" s="173">
        <f>SUBTOTAL(9,G260:G264)</f>
        <v>4</v>
      </c>
      <c r="H265" s="173"/>
      <c r="I265" s="172" t="s">
        <v>568</v>
      </c>
      <c r="J265" s="172"/>
      <c r="K265" s="172"/>
      <c r="L265" s="174"/>
      <c r="M265" s="172"/>
      <c r="N265" s="172"/>
      <c r="O265" s="172"/>
      <c r="P265" s="172"/>
      <c r="Q265" s="172"/>
      <c r="R265" s="201"/>
      <c r="S265" s="205"/>
      <c r="T265" s="172"/>
      <c r="U265" s="172"/>
      <c r="V265" s="175"/>
      <c r="W265" s="176"/>
      <c r="X265" s="175"/>
      <c r="Y265" s="176"/>
      <c r="Z265" s="172"/>
      <c r="AA265" s="177"/>
      <c r="AB265" s="174"/>
      <c r="AC265" s="178"/>
      <c r="AD265" s="178"/>
      <c r="AE265" s="178"/>
      <c r="AF265" s="178"/>
      <c r="AG265" s="178"/>
      <c r="AH265" s="178"/>
      <c r="AI265" s="178"/>
      <c r="AJ265" s="172"/>
      <c r="AK265" s="172"/>
      <c r="AL265" s="172"/>
      <c r="AM265" s="172"/>
      <c r="AN265" s="190">
        <f>SUBTOTAL(9,AN260:AN264)</f>
        <v>208075</v>
      </c>
      <c r="AO265" s="179">
        <f>SUBTOTAL(9,AO260:AO264)</f>
        <v>201643</v>
      </c>
      <c r="AP265" s="179">
        <f t="shared" ref="AP265:BR265" si="372">SUBTOTAL(9,AP260:AP264)</f>
        <v>0</v>
      </c>
      <c r="AQ265" s="179">
        <f t="shared" si="372"/>
        <v>1802</v>
      </c>
      <c r="AR265" s="179">
        <f t="shared" si="372"/>
        <v>0</v>
      </c>
      <c r="AS265" s="179">
        <f t="shared" si="372"/>
        <v>0</v>
      </c>
      <c r="AT265" s="179">
        <f t="shared" si="372"/>
        <v>0</v>
      </c>
      <c r="AU265" s="179">
        <f t="shared" si="372"/>
        <v>600</v>
      </c>
      <c r="AV265" s="179">
        <f t="shared" si="372"/>
        <v>4030</v>
      </c>
      <c r="AW265" s="179">
        <f t="shared" si="372"/>
        <v>0</v>
      </c>
      <c r="AX265" s="179">
        <f t="shared" si="372"/>
        <v>0</v>
      </c>
      <c r="AY265" s="179">
        <f t="shared" si="372"/>
        <v>0</v>
      </c>
      <c r="AZ265" s="179">
        <f t="shared" si="372"/>
        <v>0</v>
      </c>
      <c r="BA265" s="179">
        <f t="shared" si="372"/>
        <v>0</v>
      </c>
      <c r="BB265" s="179">
        <f t="shared" si="372"/>
        <v>0</v>
      </c>
      <c r="BC265" s="179">
        <f t="shared" si="372"/>
        <v>0</v>
      </c>
      <c r="BD265" s="179">
        <f t="shared" si="372"/>
        <v>1205</v>
      </c>
      <c r="BE265" s="179">
        <f t="shared" si="372"/>
        <v>5500</v>
      </c>
      <c r="BF265" s="179">
        <f t="shared" si="372"/>
        <v>478.8</v>
      </c>
      <c r="BG265" s="179">
        <f t="shared" si="372"/>
        <v>700</v>
      </c>
      <c r="BH265" s="179">
        <f t="shared" si="372"/>
        <v>22351</v>
      </c>
      <c r="BI265" s="179">
        <f t="shared" si="372"/>
        <v>3500</v>
      </c>
      <c r="BJ265" s="179">
        <f t="shared" si="372"/>
        <v>792</v>
      </c>
      <c r="BK265" s="179">
        <f t="shared" si="372"/>
        <v>36010</v>
      </c>
      <c r="BL265" s="179">
        <f t="shared" si="372"/>
        <v>2576</v>
      </c>
      <c r="BM265" s="179">
        <f t="shared" si="372"/>
        <v>641</v>
      </c>
      <c r="BN265" s="179">
        <f t="shared" si="372"/>
        <v>3020</v>
      </c>
      <c r="BO265" s="179">
        <f t="shared" si="372"/>
        <v>374</v>
      </c>
      <c r="BP265" s="179">
        <f t="shared" si="372"/>
        <v>1500</v>
      </c>
      <c r="BQ265" s="179">
        <f t="shared" si="372"/>
        <v>0</v>
      </c>
      <c r="BR265" s="179">
        <f t="shared" si="372"/>
        <v>286722.8</v>
      </c>
    </row>
  </sheetData>
  <sortState xmlns:xlrd2="http://schemas.microsoft.com/office/spreadsheetml/2017/richdata2" ref="A3:AL262">
    <sortCondition ref="C4:C262"/>
    <sortCondition ref="D4:D262"/>
    <sortCondition ref="E4:E262"/>
    <sortCondition descending="1" ref="K4:K262"/>
    <sortCondition ref="I4:I262"/>
  </sortState>
  <phoneticPr fontId="38" type="noConversion"/>
  <conditionalFormatting sqref="I1:I200">
    <cfRule type="cellIs" dxfId="20" priority="30" operator="equal">
      <formula>"FROZEN"</formula>
    </cfRule>
  </conditionalFormatting>
  <conditionalFormatting sqref="I1:I212">
    <cfRule type="cellIs" dxfId="19" priority="28" operator="equal">
      <formula>"DIVISION"</formula>
    </cfRule>
    <cfRule type="cellIs" dxfId="18" priority="25" operator="equal">
      <formula>"SEASONAL"</formula>
    </cfRule>
  </conditionalFormatting>
  <conditionalFormatting sqref="I1:I1048576">
    <cfRule type="cellIs" dxfId="17" priority="26" operator="equal">
      <formula>"VACANT"</formula>
    </cfRule>
  </conditionalFormatting>
  <conditionalFormatting sqref="I201:I210">
    <cfRule type="cellIs" dxfId="16" priority="108" operator="equal">
      <formula>"FROZEN"</formula>
    </cfRule>
  </conditionalFormatting>
  <conditionalFormatting sqref="I211:I212">
    <cfRule type="cellIs" dxfId="15" priority="147" operator="equal">
      <formula>"FROZEN"</formula>
    </cfRule>
  </conditionalFormatting>
  <conditionalFormatting sqref="I213:I221">
    <cfRule type="cellIs" dxfId="14" priority="60" operator="equal">
      <formula>"DIVISION"</formula>
    </cfRule>
    <cfRule type="cellIs" dxfId="13" priority="58" operator="equal">
      <formula>"FROZEN"</formula>
    </cfRule>
    <cfRule type="cellIs" dxfId="12" priority="56" operator="equal">
      <formula>"SEASONAL"</formula>
    </cfRule>
  </conditionalFormatting>
  <conditionalFormatting sqref="I222:I1048576">
    <cfRule type="cellIs" dxfId="11" priority="2" operator="equal">
      <formula>"DIVISION"</formula>
    </cfRule>
    <cfRule type="cellIs" dxfId="10" priority="3" operator="equal">
      <formula>"FROZEN"</formula>
    </cfRule>
    <cfRule type="cellIs" dxfId="9" priority="1" operator="equal">
      <formula>"SEASONAL"</formula>
    </cfRule>
  </conditionalFormatting>
  <conditionalFormatting sqref="J1:J212 J222:J1048576">
    <cfRule type="cellIs" dxfId="8" priority="27" operator="equal">
      <formula>"BUDGET"</formula>
    </cfRule>
    <cfRule type="cellIs" dxfId="7" priority="29" operator="equal">
      <formula>"POSITION"</formula>
    </cfRule>
  </conditionalFormatting>
  <conditionalFormatting sqref="J213:J221">
    <cfRule type="cellIs" dxfId="6" priority="57" operator="equal">
      <formula>"POSITION"</formula>
    </cfRule>
    <cfRule type="cellIs" dxfId="5" priority="59" operator="equal">
      <formula>"ACCOUNT"</formula>
    </cfRule>
  </conditionalFormatting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DC23F-7542-4EBA-863D-495A67EC7D99}">
  <sheetPr>
    <tabColor rgb="FFFF0000"/>
  </sheetPr>
  <dimension ref="A1:K69"/>
  <sheetViews>
    <sheetView workbookViewId="0">
      <selection activeCell="G36" sqref="G36"/>
    </sheetView>
  </sheetViews>
  <sheetFormatPr defaultColWidth="8.7265625" defaultRowHeight="14.5" x14ac:dyDescent="0.35"/>
  <cols>
    <col min="1" max="1" width="7" style="9" bestFit="1" customWidth="1"/>
    <col min="2" max="2" width="5.1796875" style="4" bestFit="1" customWidth="1"/>
    <col min="3" max="3" width="10" style="9" bestFit="1" customWidth="1"/>
    <col min="4" max="10" width="8.7265625" style="9"/>
    <col min="11" max="11" width="8.7265625" style="11"/>
    <col min="12" max="16384" width="8.7265625" style="9"/>
  </cols>
  <sheetData>
    <row r="1" spans="1:11" s="4" customFormat="1" x14ac:dyDescent="0.35">
      <c r="A1" s="3" t="s">
        <v>252</v>
      </c>
      <c r="B1" s="3" t="s">
        <v>253</v>
      </c>
      <c r="C1" s="3" t="s">
        <v>254</v>
      </c>
      <c r="J1" s="5" t="s">
        <v>255</v>
      </c>
      <c r="K1" s="6"/>
    </row>
    <row r="2" spans="1:11" x14ac:dyDescent="0.35">
      <c r="A2" s="193" t="s">
        <v>595</v>
      </c>
      <c r="B2" s="3">
        <v>1</v>
      </c>
      <c r="C2" s="8">
        <v>29.401399999999999</v>
      </c>
      <c r="J2" s="10" t="s">
        <v>129</v>
      </c>
      <c r="K2" s="11">
        <v>0</v>
      </c>
    </row>
    <row r="3" spans="1:11" x14ac:dyDescent="0.35">
      <c r="A3" s="193" t="s">
        <v>595</v>
      </c>
      <c r="B3" s="3">
        <v>2</v>
      </c>
      <c r="C3" s="8">
        <v>30.504000000000001</v>
      </c>
      <c r="J3" s="10" t="s">
        <v>75</v>
      </c>
      <c r="K3" s="11">
        <v>0</v>
      </c>
    </row>
    <row r="4" spans="1:11" x14ac:dyDescent="0.35">
      <c r="A4" s="193" t="s">
        <v>595</v>
      </c>
      <c r="B4" s="3">
        <v>3</v>
      </c>
      <c r="C4" s="8">
        <v>31.6479</v>
      </c>
      <c r="J4" s="10" t="s">
        <v>256</v>
      </c>
      <c r="K4" s="11">
        <v>0</v>
      </c>
    </row>
    <row r="5" spans="1:11" x14ac:dyDescent="0.35">
      <c r="A5" s="193" t="s">
        <v>595</v>
      </c>
      <c r="B5" s="3">
        <v>4</v>
      </c>
      <c r="C5" s="8">
        <v>32.834699999999998</v>
      </c>
      <c r="J5" s="10" t="s">
        <v>79</v>
      </c>
      <c r="K5" s="11">
        <v>6.8000000000000005E-2</v>
      </c>
    </row>
    <row r="6" spans="1:11" x14ac:dyDescent="0.35">
      <c r="A6" s="72" t="s">
        <v>158</v>
      </c>
      <c r="B6" s="3">
        <v>1</v>
      </c>
      <c r="C6" s="8">
        <v>22.4011</v>
      </c>
      <c r="J6" s="10"/>
    </row>
    <row r="7" spans="1:11" x14ac:dyDescent="0.35">
      <c r="A7" s="72" t="s">
        <v>158</v>
      </c>
      <c r="B7" s="3">
        <v>2</v>
      </c>
      <c r="C7" s="8">
        <v>23.241099999999999</v>
      </c>
      <c r="J7" s="10"/>
    </row>
    <row r="8" spans="1:11" x14ac:dyDescent="0.35">
      <c r="A8" s="72" t="s">
        <v>158</v>
      </c>
      <c r="B8" s="3">
        <v>3</v>
      </c>
      <c r="C8" s="8">
        <v>24.1127</v>
      </c>
      <c r="J8" s="10" t="s">
        <v>152</v>
      </c>
      <c r="K8" s="11">
        <v>2.9000000000000001E-2</v>
      </c>
    </row>
    <row r="9" spans="1:11" x14ac:dyDescent="0.35">
      <c r="A9" s="72" t="s">
        <v>158</v>
      </c>
      <c r="B9" s="3">
        <v>4</v>
      </c>
      <c r="C9" s="8">
        <v>25.0169</v>
      </c>
      <c r="J9" s="10" t="s">
        <v>146</v>
      </c>
      <c r="K9" s="11">
        <v>0.01</v>
      </c>
    </row>
    <row r="10" spans="1:11" x14ac:dyDescent="0.35">
      <c r="A10" s="7" t="s">
        <v>161</v>
      </c>
      <c r="B10" s="3">
        <v>1</v>
      </c>
      <c r="C10" s="8">
        <v>22.714700000000001</v>
      </c>
      <c r="J10" s="10" t="s">
        <v>168</v>
      </c>
      <c r="K10" s="11">
        <v>2.9000000000000001E-2</v>
      </c>
    </row>
    <row r="11" spans="1:11" x14ac:dyDescent="0.35">
      <c r="A11" s="7" t="s">
        <v>161</v>
      </c>
      <c r="B11" s="3">
        <v>2</v>
      </c>
      <c r="C11" s="8">
        <v>23.566500000000001</v>
      </c>
      <c r="J11" s="10" t="s">
        <v>165</v>
      </c>
      <c r="K11" s="11">
        <v>0.01</v>
      </c>
    </row>
    <row r="12" spans="1:11" x14ac:dyDescent="0.35">
      <c r="A12" s="7" t="s">
        <v>161</v>
      </c>
      <c r="B12" s="3">
        <v>3</v>
      </c>
      <c r="C12" s="8">
        <v>24.450199999999999</v>
      </c>
      <c r="J12" s="10" t="s">
        <v>163</v>
      </c>
      <c r="K12" s="11">
        <v>0.01</v>
      </c>
    </row>
    <row r="13" spans="1:11" x14ac:dyDescent="0.35">
      <c r="A13" s="7" t="s">
        <v>161</v>
      </c>
      <c r="B13" s="3">
        <v>4</v>
      </c>
      <c r="C13" s="8">
        <v>25.367100000000001</v>
      </c>
      <c r="J13" s="10" t="s">
        <v>161</v>
      </c>
      <c r="K13" s="11">
        <v>2.9000000000000001E-2</v>
      </c>
    </row>
    <row r="14" spans="1:11" x14ac:dyDescent="0.35">
      <c r="A14" s="7" t="s">
        <v>161</v>
      </c>
      <c r="B14" s="3">
        <v>5</v>
      </c>
      <c r="C14" s="8">
        <v>26.318300000000001</v>
      </c>
    </row>
    <row r="15" spans="1:11" x14ac:dyDescent="0.35">
      <c r="A15" s="7" t="s">
        <v>161</v>
      </c>
      <c r="B15" s="3">
        <v>6</v>
      </c>
      <c r="C15" s="8">
        <v>27.305299999999999</v>
      </c>
    </row>
    <row r="16" spans="1:11" x14ac:dyDescent="0.35">
      <c r="A16" s="7" t="s">
        <v>161</v>
      </c>
      <c r="B16" s="3">
        <v>7</v>
      </c>
      <c r="C16" s="8">
        <v>28.3292</v>
      </c>
    </row>
    <row r="17" spans="1:10" x14ac:dyDescent="0.35">
      <c r="A17" s="7" t="s">
        <v>163</v>
      </c>
      <c r="B17" s="3">
        <v>1</v>
      </c>
      <c r="C17" s="8">
        <v>28.63</v>
      </c>
    </row>
    <row r="18" spans="1:10" x14ac:dyDescent="0.35">
      <c r="A18" s="7" t="s">
        <v>163</v>
      </c>
      <c r="B18" s="3">
        <v>2</v>
      </c>
      <c r="C18" s="8">
        <v>29.488900000000001</v>
      </c>
    </row>
    <row r="19" spans="1:10" x14ac:dyDescent="0.35">
      <c r="A19" s="7" t="s">
        <v>163</v>
      </c>
      <c r="B19" s="3">
        <v>3</v>
      </c>
      <c r="C19" s="8">
        <v>30.3736</v>
      </c>
    </row>
    <row r="20" spans="1:10" x14ac:dyDescent="0.35">
      <c r="A20" s="7" t="s">
        <v>163</v>
      </c>
      <c r="B20" s="3">
        <v>4</v>
      </c>
      <c r="C20" s="8">
        <v>31.284800000000001</v>
      </c>
    </row>
    <row r="21" spans="1:10" x14ac:dyDescent="0.35">
      <c r="A21" s="7" t="s">
        <v>163</v>
      </c>
      <c r="B21" s="3">
        <v>5</v>
      </c>
      <c r="C21" s="8">
        <v>32.223399999999998</v>
      </c>
    </row>
    <row r="22" spans="1:10" x14ac:dyDescent="0.35">
      <c r="A22" s="7" t="s">
        <v>165</v>
      </c>
      <c r="B22" s="3">
        <v>1</v>
      </c>
      <c r="C22" s="8">
        <v>33.834400000000002</v>
      </c>
      <c r="I22" s="9" t="s">
        <v>593</v>
      </c>
      <c r="J22" s="9" t="s">
        <v>13</v>
      </c>
    </row>
    <row r="23" spans="1:10" x14ac:dyDescent="0.35">
      <c r="A23" s="7" t="s">
        <v>165</v>
      </c>
      <c r="B23" s="3">
        <v>2</v>
      </c>
      <c r="C23" s="8">
        <v>34.849499999999999</v>
      </c>
    </row>
    <row r="24" spans="1:10" x14ac:dyDescent="0.35">
      <c r="A24" s="7" t="s">
        <v>165</v>
      </c>
      <c r="B24" s="3">
        <v>3</v>
      </c>
      <c r="C24" s="8">
        <v>35.8949</v>
      </c>
    </row>
    <row r="25" spans="1:10" x14ac:dyDescent="0.35">
      <c r="A25" s="7" t="s">
        <v>165</v>
      </c>
      <c r="B25" s="3">
        <v>4</v>
      </c>
      <c r="C25" s="8">
        <v>36.971800000000002</v>
      </c>
    </row>
    <row r="26" spans="1:10" x14ac:dyDescent="0.35">
      <c r="A26" s="7" t="s">
        <v>165</v>
      </c>
      <c r="B26" s="3">
        <v>5</v>
      </c>
      <c r="C26" s="8">
        <v>38.081000000000003</v>
      </c>
    </row>
    <row r="27" spans="1:10" x14ac:dyDescent="0.35">
      <c r="A27" s="7" t="s">
        <v>168</v>
      </c>
      <c r="B27" s="3">
        <v>1</v>
      </c>
      <c r="C27" s="8">
        <v>39.9788</v>
      </c>
    </row>
    <row r="28" spans="1:10" x14ac:dyDescent="0.35">
      <c r="A28" s="7" t="s">
        <v>168</v>
      </c>
      <c r="B28" s="3">
        <v>2</v>
      </c>
      <c r="C28" s="8">
        <v>41.178100000000001</v>
      </c>
    </row>
    <row r="29" spans="1:10" x14ac:dyDescent="0.35">
      <c r="A29" s="7" t="s">
        <v>168</v>
      </c>
      <c r="B29" s="3">
        <v>3</v>
      </c>
      <c r="C29" s="8">
        <v>42.413499999999999</v>
      </c>
    </row>
    <row r="30" spans="1:10" x14ac:dyDescent="0.35">
      <c r="A30" s="7" t="s">
        <v>168</v>
      </c>
      <c r="B30" s="3">
        <v>4</v>
      </c>
      <c r="C30" s="8">
        <v>43.685899999999997</v>
      </c>
    </row>
    <row r="31" spans="1:10" x14ac:dyDescent="0.35">
      <c r="A31" s="7" t="s">
        <v>146</v>
      </c>
      <c r="B31" s="3">
        <v>1</v>
      </c>
      <c r="C31" s="8">
        <v>44.407699999999998</v>
      </c>
    </row>
    <row r="32" spans="1:10" x14ac:dyDescent="0.35">
      <c r="A32" s="7" t="s">
        <v>146</v>
      </c>
      <c r="B32" s="3">
        <v>2</v>
      </c>
      <c r="C32" s="8">
        <v>45.739899999999999</v>
      </c>
    </row>
    <row r="33" spans="1:3" x14ac:dyDescent="0.35">
      <c r="A33" s="7" t="s">
        <v>146</v>
      </c>
      <c r="B33" s="3">
        <v>3</v>
      </c>
      <c r="C33" s="8">
        <v>47.112099999999998</v>
      </c>
    </row>
    <row r="34" spans="1:3" x14ac:dyDescent="0.35">
      <c r="A34" s="7" t="s">
        <v>146</v>
      </c>
      <c r="B34" s="3">
        <v>4</v>
      </c>
      <c r="C34" s="8">
        <v>48.525500000000001</v>
      </c>
    </row>
    <row r="35" spans="1:3" x14ac:dyDescent="0.35">
      <c r="A35" s="7" t="s">
        <v>146</v>
      </c>
      <c r="B35" s="3">
        <v>5</v>
      </c>
      <c r="C35" s="8">
        <v>49.981200000000001</v>
      </c>
    </row>
    <row r="36" spans="1:3" x14ac:dyDescent="0.35">
      <c r="A36" s="7" t="s">
        <v>152</v>
      </c>
      <c r="B36" s="3">
        <v>1</v>
      </c>
      <c r="C36" s="8">
        <f>52.4721*1.1</f>
        <v>57.71931</v>
      </c>
    </row>
    <row r="37" spans="1:3" x14ac:dyDescent="0.35">
      <c r="A37" s="7" t="s">
        <v>152</v>
      </c>
      <c r="B37" s="3">
        <v>2</v>
      </c>
      <c r="C37" s="8">
        <f>54.0463*1.1</f>
        <v>59.450930000000007</v>
      </c>
    </row>
    <row r="38" spans="1:3" x14ac:dyDescent="0.35">
      <c r="A38" s="7" t="s">
        <v>152</v>
      </c>
      <c r="B38" s="3">
        <v>3</v>
      </c>
      <c r="C38" s="8">
        <f>55.6677*1.1</f>
        <v>61.234470000000009</v>
      </c>
    </row>
    <row r="39" spans="1:3" x14ac:dyDescent="0.35">
      <c r="A39" s="7" t="s">
        <v>152</v>
      </c>
      <c r="B39" s="3">
        <v>4</v>
      </c>
      <c r="C39" s="8">
        <f>57.3377*1.1</f>
        <v>63.071470000000005</v>
      </c>
    </row>
    <row r="40" spans="1:3" x14ac:dyDescent="0.35">
      <c r="A40" s="212" t="s">
        <v>609</v>
      </c>
      <c r="B40" s="3">
        <v>1</v>
      </c>
      <c r="C40" s="8">
        <v>59.648400000000002</v>
      </c>
    </row>
    <row r="41" spans="1:3" x14ac:dyDescent="0.35">
      <c r="A41" s="212" t="s">
        <v>609</v>
      </c>
      <c r="B41" s="3">
        <v>2</v>
      </c>
      <c r="C41" s="8">
        <v>62.630800000000001</v>
      </c>
    </row>
    <row r="42" spans="1:3" x14ac:dyDescent="0.35">
      <c r="A42" s="212" t="s">
        <v>609</v>
      </c>
      <c r="B42" s="3">
        <v>3</v>
      </c>
      <c r="C42" s="8">
        <v>65.7624</v>
      </c>
    </row>
    <row r="43" spans="1:3" x14ac:dyDescent="0.35">
      <c r="A43" s="212" t="s">
        <v>609</v>
      </c>
      <c r="B43" s="3">
        <v>4</v>
      </c>
      <c r="C43" s="8">
        <v>69.0505</v>
      </c>
    </row>
    <row r="44" spans="1:3" x14ac:dyDescent="0.35">
      <c r="A44" s="7" t="s">
        <v>257</v>
      </c>
      <c r="B44" s="3">
        <v>1</v>
      </c>
      <c r="C44" s="8">
        <v>28.001000000000001</v>
      </c>
    </row>
    <row r="45" spans="1:3" x14ac:dyDescent="0.35">
      <c r="A45" s="7" t="s">
        <v>258</v>
      </c>
      <c r="B45" s="3">
        <v>1</v>
      </c>
      <c r="C45" s="8">
        <v>29.401399999999999</v>
      </c>
    </row>
    <row r="46" spans="1:3" x14ac:dyDescent="0.35">
      <c r="A46" s="7" t="s">
        <v>79</v>
      </c>
      <c r="B46" s="3">
        <v>1</v>
      </c>
      <c r="C46" s="8">
        <v>30.937999999999999</v>
      </c>
    </row>
    <row r="47" spans="1:3" x14ac:dyDescent="0.35">
      <c r="A47" s="7" t="s">
        <v>79</v>
      </c>
      <c r="B47" s="3">
        <v>2</v>
      </c>
      <c r="C47" s="8">
        <v>32.098199999999999</v>
      </c>
    </row>
    <row r="48" spans="1:3" x14ac:dyDescent="0.35">
      <c r="A48" s="7" t="s">
        <v>79</v>
      </c>
      <c r="B48" s="3">
        <v>3</v>
      </c>
      <c r="C48" s="8">
        <v>33.3018</v>
      </c>
    </row>
    <row r="49" spans="1:4" x14ac:dyDescent="0.35">
      <c r="A49" s="7" t="s">
        <v>79</v>
      </c>
      <c r="B49" s="3">
        <v>4</v>
      </c>
      <c r="C49" s="8">
        <v>34.550699999999999</v>
      </c>
    </row>
    <row r="50" spans="1:4" x14ac:dyDescent="0.35">
      <c r="A50" s="7" t="s">
        <v>79</v>
      </c>
      <c r="B50" s="3">
        <v>5</v>
      </c>
      <c r="C50" s="8">
        <v>35.846299999999999</v>
      </c>
    </row>
    <row r="51" spans="1:4" x14ac:dyDescent="0.35">
      <c r="A51" s="7" t="s">
        <v>79</v>
      </c>
      <c r="B51" s="3">
        <v>6</v>
      </c>
      <c r="C51" s="8">
        <v>37.1905</v>
      </c>
    </row>
    <row r="52" spans="1:4" x14ac:dyDescent="0.35">
      <c r="A52" s="7" t="s">
        <v>79</v>
      </c>
      <c r="B52" s="3">
        <v>7</v>
      </c>
      <c r="C52" s="8">
        <v>38.5852</v>
      </c>
    </row>
    <row r="53" spans="1:4" x14ac:dyDescent="0.35">
      <c r="A53" s="7" t="s">
        <v>256</v>
      </c>
      <c r="B53" s="3">
        <v>1</v>
      </c>
      <c r="C53" s="8">
        <v>39.742800000000003</v>
      </c>
    </row>
    <row r="54" spans="1:4" x14ac:dyDescent="0.35">
      <c r="A54" s="7" t="s">
        <v>256</v>
      </c>
      <c r="B54" s="3">
        <v>2</v>
      </c>
      <c r="C54" s="8">
        <v>40.935099999999998</v>
      </c>
    </row>
    <row r="55" spans="1:4" x14ac:dyDescent="0.35">
      <c r="A55" s="7" t="s">
        <v>256</v>
      </c>
      <c r="B55" s="3">
        <v>3</v>
      </c>
      <c r="C55" s="8">
        <v>42.1631</v>
      </c>
    </row>
    <row r="56" spans="1:4" x14ac:dyDescent="0.35">
      <c r="A56" s="7" t="s">
        <v>256</v>
      </c>
      <c r="B56" s="3">
        <v>4</v>
      </c>
      <c r="C56" s="8">
        <v>43.427999999999997</v>
      </c>
    </row>
    <row r="57" spans="1:4" x14ac:dyDescent="0.35">
      <c r="A57" s="7" t="s">
        <v>75</v>
      </c>
      <c r="B57" s="3">
        <v>1</v>
      </c>
      <c r="C57" s="8">
        <v>43.980699999999999</v>
      </c>
    </row>
    <row r="58" spans="1:4" x14ac:dyDescent="0.35">
      <c r="A58" s="7" t="s">
        <v>75</v>
      </c>
      <c r="B58" s="3">
        <v>2</v>
      </c>
      <c r="C58" s="8">
        <v>45.3001</v>
      </c>
    </row>
    <row r="59" spans="1:4" x14ac:dyDescent="0.35">
      <c r="A59" s="7" t="s">
        <v>75</v>
      </c>
      <c r="B59" s="3">
        <v>3</v>
      </c>
      <c r="C59" s="8">
        <v>46.659100000000002</v>
      </c>
    </row>
    <row r="60" spans="1:4" x14ac:dyDescent="0.35">
      <c r="A60" s="7" t="s">
        <v>75</v>
      </c>
      <c r="B60" s="3">
        <v>4</v>
      </c>
      <c r="C60" s="8">
        <v>48.058900000000001</v>
      </c>
      <c r="D60" s="12"/>
    </row>
    <row r="61" spans="1:4" x14ac:dyDescent="0.35">
      <c r="A61" s="7" t="s">
        <v>75</v>
      </c>
      <c r="B61" s="3">
        <v>5</v>
      </c>
      <c r="C61" s="8">
        <v>49.500599999999999</v>
      </c>
      <c r="D61" s="12"/>
    </row>
    <row r="62" spans="1:4" x14ac:dyDescent="0.35">
      <c r="A62" s="7" t="s">
        <v>129</v>
      </c>
      <c r="B62" s="3">
        <v>1</v>
      </c>
      <c r="C62" s="8">
        <v>50.987000000000002</v>
      </c>
      <c r="D62" s="12"/>
    </row>
    <row r="63" spans="1:4" x14ac:dyDescent="0.35">
      <c r="A63" s="7" t="s">
        <v>129</v>
      </c>
      <c r="B63" s="3">
        <v>2</v>
      </c>
      <c r="C63" s="8">
        <v>52.516599999999997</v>
      </c>
      <c r="D63" s="12"/>
    </row>
    <row r="64" spans="1:4" x14ac:dyDescent="0.35">
      <c r="A64" s="7" t="s">
        <v>129</v>
      </c>
      <c r="B64" s="3">
        <v>3</v>
      </c>
      <c r="C64" s="8">
        <v>54.092100000000002</v>
      </c>
    </row>
    <row r="65" spans="1:3" x14ac:dyDescent="0.35">
      <c r="A65" s="7" t="s">
        <v>129</v>
      </c>
      <c r="B65" s="3">
        <v>4</v>
      </c>
      <c r="C65" s="8">
        <v>55.7149</v>
      </c>
    </row>
    <row r="66" spans="1:3" x14ac:dyDescent="0.35">
      <c r="A66" s="212" t="s">
        <v>607</v>
      </c>
      <c r="B66" s="3">
        <v>1</v>
      </c>
      <c r="C66" s="8">
        <v>61.2864</v>
      </c>
    </row>
    <row r="67" spans="1:3" x14ac:dyDescent="0.35">
      <c r="A67" s="212" t="s">
        <v>607</v>
      </c>
      <c r="B67" s="3">
        <v>2</v>
      </c>
      <c r="C67" s="8">
        <v>64.350700000000003</v>
      </c>
    </row>
    <row r="68" spans="1:3" x14ac:dyDescent="0.35">
      <c r="A68" s="212" t="s">
        <v>607</v>
      </c>
      <c r="B68" s="3">
        <v>3</v>
      </c>
      <c r="C68" s="8">
        <v>67.568200000000004</v>
      </c>
    </row>
    <row r="69" spans="1:3" x14ac:dyDescent="0.35">
      <c r="A69" s="212" t="s">
        <v>607</v>
      </c>
      <c r="B69" s="3">
        <v>4</v>
      </c>
      <c r="C69" s="8">
        <v>70.946600000000004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7821-55EC-43FA-B60E-2C5A5367CD9B}">
  <sheetPr>
    <tabColor rgb="FFFF0000"/>
  </sheetPr>
  <dimension ref="A1:E22"/>
  <sheetViews>
    <sheetView workbookViewId="0">
      <selection activeCell="C20" sqref="C20"/>
    </sheetView>
  </sheetViews>
  <sheetFormatPr defaultColWidth="8.7265625" defaultRowHeight="14.5" x14ac:dyDescent="0.35"/>
  <cols>
    <col min="1" max="1" width="5.54296875" style="9" bestFit="1" customWidth="1"/>
    <col min="2" max="2" width="35.26953125" style="9" bestFit="1" customWidth="1"/>
    <col min="3" max="4" width="8.7265625" style="9"/>
    <col min="5" max="5" width="11" style="9" bestFit="1" customWidth="1"/>
    <col min="6" max="16384" width="8.7265625" style="9"/>
  </cols>
  <sheetData>
    <row r="1" spans="1:5" ht="58" x14ac:dyDescent="0.35">
      <c r="A1" s="13" t="s">
        <v>259</v>
      </c>
      <c r="B1" s="14" t="s">
        <v>260</v>
      </c>
      <c r="C1" s="15" t="s">
        <v>597</v>
      </c>
      <c r="D1" s="15" t="s">
        <v>592</v>
      </c>
      <c r="E1" s="15" t="s">
        <v>261</v>
      </c>
    </row>
    <row r="2" spans="1:5" x14ac:dyDescent="0.35">
      <c r="A2" s="16">
        <v>4511</v>
      </c>
      <c r="B2" s="17" t="s">
        <v>262</v>
      </c>
      <c r="C2" s="18">
        <v>0.87</v>
      </c>
      <c r="D2" s="19">
        <f>ROUND(C2/100,4)</f>
        <v>8.6999999999999994E-3</v>
      </c>
      <c r="E2" s="20">
        <f>ROUND(D2*$C$22,6)</f>
        <v>2.1580000000000002E-3</v>
      </c>
    </row>
    <row r="3" spans="1:5" x14ac:dyDescent="0.35">
      <c r="A3" s="16">
        <v>5506</v>
      </c>
      <c r="B3" s="17" t="s">
        <v>263</v>
      </c>
      <c r="C3" s="18">
        <v>7.62</v>
      </c>
      <c r="D3" s="19">
        <f t="shared" ref="D3:D17" si="0">ROUND(C3/100,4)</f>
        <v>7.6200000000000004E-2</v>
      </c>
      <c r="E3" s="20">
        <f t="shared" ref="E3:E17" si="1">ROUND(D3*$C$22,6)</f>
        <v>1.8898000000000002E-2</v>
      </c>
    </row>
    <row r="4" spans="1:5" x14ac:dyDescent="0.35">
      <c r="A4" s="16">
        <v>7520</v>
      </c>
      <c r="B4" s="17" t="s">
        <v>264</v>
      </c>
      <c r="C4" s="18">
        <v>4.5</v>
      </c>
      <c r="D4" s="19">
        <f t="shared" si="0"/>
        <v>4.4999999999999998E-2</v>
      </c>
      <c r="E4" s="20">
        <f t="shared" si="1"/>
        <v>1.116E-2</v>
      </c>
    </row>
    <row r="5" spans="1:5" x14ac:dyDescent="0.35">
      <c r="A5" s="16">
        <v>7580</v>
      </c>
      <c r="B5" s="17" t="s">
        <v>265</v>
      </c>
      <c r="C5" s="18">
        <v>4.5</v>
      </c>
      <c r="D5" s="19">
        <f t="shared" si="0"/>
        <v>4.4999999999999998E-2</v>
      </c>
      <c r="E5" s="20">
        <f t="shared" si="1"/>
        <v>1.116E-2</v>
      </c>
    </row>
    <row r="6" spans="1:5" x14ac:dyDescent="0.35">
      <c r="A6" s="16">
        <v>7704</v>
      </c>
      <c r="B6" s="17" t="s">
        <v>266</v>
      </c>
      <c r="C6" s="18">
        <v>5.0199999999999996</v>
      </c>
      <c r="D6" s="19">
        <f t="shared" si="0"/>
        <v>5.0200000000000002E-2</v>
      </c>
      <c r="E6" s="20">
        <f t="shared" si="1"/>
        <v>1.2449999999999999E-2</v>
      </c>
    </row>
    <row r="7" spans="1:5" x14ac:dyDescent="0.35">
      <c r="A7" s="16">
        <v>7720</v>
      </c>
      <c r="B7" s="17" t="s">
        <v>267</v>
      </c>
      <c r="C7" s="18">
        <v>4.4400000000000004</v>
      </c>
      <c r="D7" s="19">
        <f t="shared" si="0"/>
        <v>4.4400000000000002E-2</v>
      </c>
      <c r="E7" s="20">
        <f t="shared" si="1"/>
        <v>1.1011E-2</v>
      </c>
    </row>
    <row r="8" spans="1:5" x14ac:dyDescent="0.35">
      <c r="A8" s="16">
        <v>8107</v>
      </c>
      <c r="B8" s="17" t="s">
        <v>268</v>
      </c>
      <c r="C8" s="18">
        <v>7.91</v>
      </c>
      <c r="D8" s="19">
        <f t="shared" si="0"/>
        <v>7.9100000000000004E-2</v>
      </c>
      <c r="E8" s="20">
        <f t="shared" si="1"/>
        <v>1.9616999999999999E-2</v>
      </c>
    </row>
    <row r="9" spans="1:5" x14ac:dyDescent="0.35">
      <c r="A9" s="21">
        <v>8391</v>
      </c>
      <c r="B9" s="22" t="s">
        <v>269</v>
      </c>
      <c r="C9" s="18"/>
      <c r="D9" s="19">
        <f t="shared" si="0"/>
        <v>0</v>
      </c>
      <c r="E9" s="20">
        <f t="shared" si="1"/>
        <v>0</v>
      </c>
    </row>
    <row r="10" spans="1:5" x14ac:dyDescent="0.35">
      <c r="A10" s="16">
        <v>8810</v>
      </c>
      <c r="B10" s="17" t="s">
        <v>270</v>
      </c>
      <c r="C10" s="18">
        <v>0.41</v>
      </c>
      <c r="D10" s="19">
        <f t="shared" si="0"/>
        <v>4.1000000000000003E-3</v>
      </c>
      <c r="E10" s="20">
        <f t="shared" si="1"/>
        <v>1.0169999999999999E-3</v>
      </c>
    </row>
    <row r="11" spans="1:5" x14ac:dyDescent="0.35">
      <c r="A11" s="23">
        <v>8831</v>
      </c>
      <c r="B11" s="17" t="s">
        <v>271</v>
      </c>
      <c r="C11" s="18">
        <v>6.38</v>
      </c>
      <c r="D11" s="19">
        <f t="shared" si="0"/>
        <v>6.3799999999999996E-2</v>
      </c>
      <c r="E11" s="20">
        <f t="shared" si="1"/>
        <v>1.5821999999999999E-2</v>
      </c>
    </row>
    <row r="12" spans="1:5" x14ac:dyDescent="0.35">
      <c r="A12" s="23">
        <v>8838</v>
      </c>
      <c r="B12" s="17" t="s">
        <v>272</v>
      </c>
      <c r="C12" s="18">
        <v>0.55000000000000004</v>
      </c>
      <c r="D12" s="19">
        <f t="shared" si="0"/>
        <v>5.4999999999999997E-3</v>
      </c>
      <c r="E12" s="20">
        <f t="shared" si="1"/>
        <v>1.364E-3</v>
      </c>
    </row>
    <row r="13" spans="1:5" x14ac:dyDescent="0.35">
      <c r="A13" s="23">
        <v>8888</v>
      </c>
      <c r="B13" s="17" t="s">
        <v>273</v>
      </c>
      <c r="C13" s="18">
        <f>7.67+(7.67*0.03)</f>
        <v>7.9001000000000001</v>
      </c>
      <c r="D13" s="19">
        <f t="shared" si="0"/>
        <v>7.9000000000000001E-2</v>
      </c>
      <c r="E13" s="20">
        <f t="shared" si="1"/>
        <v>1.9591999999999998E-2</v>
      </c>
    </row>
    <row r="14" spans="1:5" x14ac:dyDescent="0.35">
      <c r="A14" s="16">
        <v>9015</v>
      </c>
      <c r="B14" s="17" t="s">
        <v>274</v>
      </c>
      <c r="C14" s="18">
        <v>5.52</v>
      </c>
      <c r="D14" s="19">
        <f t="shared" si="0"/>
        <v>5.5199999999999999E-2</v>
      </c>
      <c r="E14" s="20">
        <f t="shared" si="1"/>
        <v>1.3690000000000001E-2</v>
      </c>
    </row>
    <row r="15" spans="1:5" x14ac:dyDescent="0.35">
      <c r="A15" s="16">
        <v>9101</v>
      </c>
      <c r="B15" s="17" t="s">
        <v>275</v>
      </c>
      <c r="C15" s="18">
        <v>3.27</v>
      </c>
      <c r="D15" s="19">
        <f t="shared" si="0"/>
        <v>3.27E-2</v>
      </c>
      <c r="E15" s="20">
        <f t="shared" si="1"/>
        <v>8.1099999999999992E-3</v>
      </c>
    </row>
    <row r="16" spans="1:5" x14ac:dyDescent="0.35">
      <c r="A16" s="16">
        <v>9102</v>
      </c>
      <c r="B16" s="17" t="s">
        <v>276</v>
      </c>
      <c r="C16" s="18">
        <v>3.6</v>
      </c>
      <c r="D16" s="19">
        <f t="shared" si="0"/>
        <v>3.5999999999999997E-2</v>
      </c>
      <c r="E16" s="20">
        <f t="shared" si="1"/>
        <v>8.9280000000000002E-3</v>
      </c>
    </row>
    <row r="17" spans="1:5" x14ac:dyDescent="0.35">
      <c r="A17" s="21">
        <v>9402</v>
      </c>
      <c r="B17" s="22" t="s">
        <v>277</v>
      </c>
      <c r="C17" s="18"/>
      <c r="D17" s="19">
        <f t="shared" si="0"/>
        <v>0</v>
      </c>
      <c r="E17" s="20">
        <f t="shared" si="1"/>
        <v>0</v>
      </c>
    </row>
    <row r="18" spans="1:5" x14ac:dyDescent="0.35">
      <c r="A18" s="17"/>
      <c r="B18" s="17"/>
      <c r="C18" s="24"/>
      <c r="D18" s="19"/>
      <c r="E18" s="25"/>
    </row>
    <row r="19" spans="1:5" x14ac:dyDescent="0.35">
      <c r="A19" s="17"/>
      <c r="B19" s="17" t="s">
        <v>278</v>
      </c>
      <c r="C19" s="18">
        <v>0.31</v>
      </c>
      <c r="D19" s="26"/>
      <c r="E19" s="27"/>
    </row>
    <row r="20" spans="1:5" x14ac:dyDescent="0.35">
      <c r="A20" s="17"/>
      <c r="B20" s="17" t="s">
        <v>279</v>
      </c>
      <c r="C20" s="28">
        <v>0.8</v>
      </c>
      <c r="D20" s="19"/>
      <c r="E20" s="27"/>
    </row>
    <row r="21" spans="1:5" x14ac:dyDescent="0.35">
      <c r="A21" s="19"/>
      <c r="B21" s="19"/>
      <c r="C21" s="29"/>
      <c r="D21" s="19"/>
      <c r="E21" s="27"/>
    </row>
    <row r="22" spans="1:5" x14ac:dyDescent="0.35">
      <c r="A22" s="19"/>
      <c r="B22" s="19" t="s">
        <v>280</v>
      </c>
      <c r="C22" s="30">
        <f>ROUND($C$19*$C$20,4)</f>
        <v>0.248</v>
      </c>
      <c r="D22" s="19"/>
      <c r="E22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23B05-C8D7-484C-904F-73B9976CDCB3}">
  <sheetPr>
    <tabColor rgb="FFFF0000"/>
  </sheetPr>
  <dimension ref="A1:L15"/>
  <sheetViews>
    <sheetView workbookViewId="0">
      <selection activeCell="E12" sqref="E12"/>
    </sheetView>
  </sheetViews>
  <sheetFormatPr defaultColWidth="9.1796875" defaultRowHeight="14.5" x14ac:dyDescent="0.35"/>
  <cols>
    <col min="1" max="1" width="24.7265625" style="32" bestFit="1" customWidth="1"/>
    <col min="2" max="2" width="12.54296875" style="32" bestFit="1" customWidth="1"/>
    <col min="3" max="16384" width="9.1796875" style="32"/>
  </cols>
  <sheetData>
    <row r="1" spans="1:12" ht="16" x14ac:dyDescent="0.5">
      <c r="A1" s="31" t="s">
        <v>281</v>
      </c>
      <c r="B1" s="31"/>
      <c r="C1" s="31"/>
      <c r="D1" s="31"/>
      <c r="F1" s="33"/>
      <c r="G1" s="34" t="s">
        <v>282</v>
      </c>
      <c r="H1" s="33"/>
      <c r="I1" s="33"/>
      <c r="K1" s="35"/>
      <c r="L1" s="36" t="s">
        <v>283</v>
      </c>
    </row>
    <row r="2" spans="1:12" ht="15" thickBot="1" x14ac:dyDescent="0.4">
      <c r="A2" s="37" t="s">
        <v>284</v>
      </c>
      <c r="B2" s="38">
        <v>780</v>
      </c>
      <c r="C2" s="39">
        <v>0.375</v>
      </c>
      <c r="D2" s="33" t="s">
        <v>0</v>
      </c>
      <c r="F2" s="37" t="s">
        <v>284</v>
      </c>
      <c r="G2" s="38">
        <v>1000</v>
      </c>
      <c r="H2" s="39">
        <v>0.48076923076923078</v>
      </c>
      <c r="I2" s="33" t="s">
        <v>0</v>
      </c>
      <c r="K2" s="37" t="s">
        <v>284</v>
      </c>
      <c r="L2" s="38">
        <v>2080</v>
      </c>
    </row>
    <row r="3" spans="1:12" x14ac:dyDescent="0.35">
      <c r="A3" s="40" t="s">
        <v>285</v>
      </c>
      <c r="B3" s="41">
        <v>2080</v>
      </c>
      <c r="C3" s="33"/>
      <c r="D3" s="33"/>
      <c r="F3" s="40" t="s">
        <v>285</v>
      </c>
      <c r="G3" s="41">
        <v>2080</v>
      </c>
      <c r="H3" s="33"/>
      <c r="I3" s="33"/>
      <c r="K3" s="40" t="s">
        <v>285</v>
      </c>
      <c r="L3" s="41">
        <v>2080</v>
      </c>
    </row>
    <row r="4" spans="1:12" x14ac:dyDescent="0.35">
      <c r="A4" s="35"/>
      <c r="B4" s="35"/>
      <c r="C4" s="33"/>
      <c r="D4" s="33"/>
    </row>
    <row r="5" spans="1:12" x14ac:dyDescent="0.35">
      <c r="A5" s="35"/>
      <c r="B5" s="35"/>
      <c r="C5" s="33"/>
      <c r="D5" s="33"/>
    </row>
    <row r="6" spans="1:12" x14ac:dyDescent="0.35">
      <c r="C6" s="33"/>
      <c r="D6" s="33"/>
    </row>
    <row r="9" spans="1:12" x14ac:dyDescent="0.35">
      <c r="A9" s="32" t="s">
        <v>363</v>
      </c>
      <c r="B9" s="32">
        <v>2730</v>
      </c>
    </row>
    <row r="10" spans="1:12" x14ac:dyDescent="0.35">
      <c r="A10" s="32" t="s">
        <v>591</v>
      </c>
      <c r="B10" s="191">
        <v>0.16589999999999999</v>
      </c>
      <c r="C10" s="33"/>
      <c r="D10" s="33"/>
    </row>
    <row r="11" spans="1:12" x14ac:dyDescent="0.35">
      <c r="C11" s="33"/>
      <c r="D11" s="33"/>
    </row>
    <row r="12" spans="1:12" x14ac:dyDescent="0.35">
      <c r="C12" s="31"/>
      <c r="D12" s="31"/>
    </row>
    <row r="13" spans="1:12" x14ac:dyDescent="0.35">
      <c r="C13" s="35"/>
      <c r="D13" s="33"/>
    </row>
    <row r="14" spans="1:12" x14ac:dyDescent="0.35">
      <c r="C14" s="35"/>
      <c r="D14" s="33"/>
    </row>
    <row r="15" spans="1:12" x14ac:dyDescent="0.35">
      <c r="C15" s="35"/>
      <c r="D15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046DB-D7DE-4EC5-BFF3-F5B48FE1447B}">
  <sheetPr>
    <tabColor rgb="FFFF0000"/>
  </sheetPr>
  <dimension ref="A1:S23"/>
  <sheetViews>
    <sheetView topLeftCell="B1" workbookViewId="0">
      <selection activeCell="D25" sqref="D25"/>
    </sheetView>
  </sheetViews>
  <sheetFormatPr defaultColWidth="9.1796875" defaultRowHeight="14.5" x14ac:dyDescent="0.35"/>
  <cols>
    <col min="1" max="1" width="19.453125" style="60" bestFit="1" customWidth="1"/>
    <col min="2" max="2" width="41.26953125" style="32" bestFit="1" customWidth="1"/>
    <col min="3" max="3" width="14.81640625" style="50" bestFit="1" customWidth="1"/>
    <col min="4" max="4" width="14.26953125" style="50" bestFit="1" customWidth="1"/>
    <col min="5" max="5" width="13.81640625" style="50" bestFit="1" customWidth="1"/>
    <col min="6" max="6" width="12.54296875" style="51" bestFit="1" customWidth="1"/>
    <col min="7" max="7" width="12.54296875" style="51" customWidth="1"/>
    <col min="8" max="8" width="5.54296875" style="32" customWidth="1"/>
    <col min="9" max="9" width="11.81640625" style="58" bestFit="1" customWidth="1"/>
    <col min="10" max="10" width="16.1796875" style="32" bestFit="1" customWidth="1"/>
    <col min="11" max="11" width="14.81640625" style="50" bestFit="1" customWidth="1"/>
    <col min="12" max="12" width="12.7265625" style="50" bestFit="1" customWidth="1"/>
    <col min="13" max="13" width="12.26953125" style="50" bestFit="1" customWidth="1"/>
    <col min="14" max="14" width="11.1796875" style="54" bestFit="1" customWidth="1"/>
    <col min="15" max="15" width="5.26953125" style="32" customWidth="1"/>
    <col min="16" max="16" width="10.81640625" style="59" bestFit="1" customWidth="1"/>
    <col min="17" max="17" width="25.7265625" style="32" bestFit="1" customWidth="1"/>
    <col min="18" max="18" width="13.453125" style="32" bestFit="1" customWidth="1"/>
    <col min="19" max="19" width="11.1796875" style="59" bestFit="1" customWidth="1"/>
    <col min="20" max="16384" width="9.1796875" style="32"/>
  </cols>
  <sheetData>
    <row r="1" spans="1:19" s="46" customFormat="1" x14ac:dyDescent="0.35">
      <c r="A1" s="42" t="s">
        <v>286</v>
      </c>
      <c r="B1" s="43" t="s">
        <v>287</v>
      </c>
      <c r="C1" s="44" t="s">
        <v>288</v>
      </c>
      <c r="D1" s="44" t="s">
        <v>289</v>
      </c>
      <c r="E1" s="44" t="s">
        <v>290</v>
      </c>
      <c r="F1" s="45" t="s">
        <v>291</v>
      </c>
      <c r="G1" s="45" t="s">
        <v>383</v>
      </c>
      <c r="I1" s="47" t="s">
        <v>292</v>
      </c>
      <c r="J1" s="46" t="s">
        <v>287</v>
      </c>
      <c r="K1" s="44" t="s">
        <v>288</v>
      </c>
      <c r="L1" s="44" t="s">
        <v>289</v>
      </c>
      <c r="M1" s="44" t="s">
        <v>290</v>
      </c>
      <c r="N1" s="48" t="s">
        <v>291</v>
      </c>
      <c r="P1" s="49" t="s">
        <v>293</v>
      </c>
      <c r="Q1" s="46" t="s">
        <v>287</v>
      </c>
      <c r="R1" s="46" t="s">
        <v>288</v>
      </c>
      <c r="S1" s="49" t="s">
        <v>291</v>
      </c>
    </row>
    <row r="2" spans="1:19" x14ac:dyDescent="0.35">
      <c r="A2" s="91" t="s">
        <v>15</v>
      </c>
      <c r="B2" s="32" t="s">
        <v>344</v>
      </c>
      <c r="C2" s="50">
        <f>501.31*C23</f>
        <v>511.83750999999995</v>
      </c>
      <c r="D2" s="50">
        <v>0</v>
      </c>
      <c r="E2" s="50">
        <f t="shared" ref="E2:E19" si="0">C2-D2</f>
        <v>511.83750999999995</v>
      </c>
      <c r="F2" s="51">
        <f t="shared" ref="F2:F19" si="1">ROUND(E2*12,0)</f>
        <v>6142</v>
      </c>
      <c r="G2" s="51">
        <v>1000</v>
      </c>
      <c r="I2" s="52" t="s">
        <v>28</v>
      </c>
      <c r="J2" s="53" t="s">
        <v>294</v>
      </c>
      <c r="K2" s="44">
        <v>12.83</v>
      </c>
      <c r="L2" s="50">
        <v>0</v>
      </c>
      <c r="M2" s="50">
        <f>K2-L2</f>
        <v>12.83</v>
      </c>
      <c r="N2" s="54">
        <f>ROUND(M2*12,0)</f>
        <v>154</v>
      </c>
      <c r="P2" s="55" t="s">
        <v>16</v>
      </c>
      <c r="Q2" s="56" t="s">
        <v>295</v>
      </c>
      <c r="R2" s="50">
        <v>20</v>
      </c>
      <c r="S2" s="57">
        <f>ROUND(R2*12,0)</f>
        <v>240</v>
      </c>
    </row>
    <row r="3" spans="1:19" x14ac:dyDescent="0.35">
      <c r="A3" s="91" t="s">
        <v>57</v>
      </c>
      <c r="B3" s="32" t="s">
        <v>345</v>
      </c>
      <c r="C3" s="50">
        <f>1022.67*$C$23</f>
        <v>1044.1460699999998</v>
      </c>
      <c r="D3" s="50">
        <v>220</v>
      </c>
      <c r="E3" s="50">
        <f t="shared" si="0"/>
        <v>824.14606999999978</v>
      </c>
      <c r="F3" s="51">
        <f t="shared" si="1"/>
        <v>9890</v>
      </c>
      <c r="G3" s="51">
        <v>1500</v>
      </c>
      <c r="I3" s="58" t="s">
        <v>41</v>
      </c>
      <c r="J3" s="32" t="s">
        <v>296</v>
      </c>
      <c r="K3" s="50">
        <v>22.85</v>
      </c>
      <c r="L3" s="50">
        <v>5</v>
      </c>
      <c r="M3" s="50">
        <f t="shared" ref="M3:M9" si="2">K3-L3</f>
        <v>17.850000000000001</v>
      </c>
      <c r="N3" s="54">
        <f t="shared" ref="N3:N9" si="3">ROUND(M3*12,0)</f>
        <v>214</v>
      </c>
      <c r="P3" s="55" t="s">
        <v>36</v>
      </c>
      <c r="Q3" s="56" t="s">
        <v>297</v>
      </c>
      <c r="R3" s="50">
        <f>20+6</f>
        <v>26</v>
      </c>
      <c r="S3" s="57">
        <f t="shared" ref="S3:S6" si="4">ROUND(R3*12,0)</f>
        <v>312</v>
      </c>
    </row>
    <row r="4" spans="1:19" x14ac:dyDescent="0.35">
      <c r="A4" s="91" t="s">
        <v>35</v>
      </c>
      <c r="B4" s="32" t="s">
        <v>346</v>
      </c>
      <c r="C4" s="50">
        <f>972.52*$C$23</f>
        <v>992.94291999999984</v>
      </c>
      <c r="D4" s="50">
        <v>154</v>
      </c>
      <c r="E4" s="50">
        <f t="shared" si="0"/>
        <v>838.94291999999984</v>
      </c>
      <c r="F4" s="51">
        <f t="shared" si="1"/>
        <v>10067</v>
      </c>
      <c r="G4" s="51">
        <v>1500</v>
      </c>
      <c r="I4" s="58" t="s">
        <v>61</v>
      </c>
      <c r="J4" s="32" t="s">
        <v>298</v>
      </c>
      <c r="K4" s="50">
        <v>41.95</v>
      </c>
      <c r="L4" s="50">
        <v>16</v>
      </c>
      <c r="M4" s="50">
        <f t="shared" si="2"/>
        <v>25.950000000000003</v>
      </c>
      <c r="N4" s="54">
        <f t="shared" si="3"/>
        <v>311</v>
      </c>
      <c r="P4" s="55" t="s">
        <v>53</v>
      </c>
      <c r="Q4" s="56" t="s">
        <v>299</v>
      </c>
      <c r="R4" s="50">
        <f>20+11</f>
        <v>31</v>
      </c>
      <c r="S4" s="57">
        <f t="shared" si="4"/>
        <v>372</v>
      </c>
    </row>
    <row r="5" spans="1:19" x14ac:dyDescent="0.35">
      <c r="A5" s="91" t="s">
        <v>29</v>
      </c>
      <c r="B5" s="32" t="s">
        <v>347</v>
      </c>
      <c r="C5" s="50">
        <f>1624.23*$C$23</f>
        <v>1658.3388299999999</v>
      </c>
      <c r="D5" s="50">
        <v>350</v>
      </c>
      <c r="E5" s="50">
        <f t="shared" si="0"/>
        <v>1308.3388299999999</v>
      </c>
      <c r="F5" s="51">
        <f t="shared" si="1"/>
        <v>15700</v>
      </c>
      <c r="G5" s="51">
        <v>1500</v>
      </c>
      <c r="I5" s="58" t="s">
        <v>14</v>
      </c>
      <c r="J5" s="32" t="s">
        <v>300</v>
      </c>
      <c r="K5" s="50">
        <v>38.42</v>
      </c>
      <c r="L5" s="50">
        <v>6</v>
      </c>
      <c r="M5" s="50">
        <f>K5-L5</f>
        <v>32.42</v>
      </c>
      <c r="N5" s="54">
        <f>ROUND(M5*12,0)</f>
        <v>389</v>
      </c>
      <c r="P5" s="55" t="s">
        <v>58</v>
      </c>
      <c r="Q5" s="56" t="s">
        <v>301</v>
      </c>
      <c r="R5" s="50">
        <f>20+11+6</f>
        <v>37</v>
      </c>
      <c r="S5" s="57">
        <f t="shared" si="4"/>
        <v>444</v>
      </c>
    </row>
    <row r="6" spans="1:19" x14ac:dyDescent="0.35">
      <c r="A6" s="91" t="s">
        <v>32</v>
      </c>
      <c r="B6" s="32" t="s">
        <v>348</v>
      </c>
      <c r="C6" s="50">
        <f>570.8*$C$23</f>
        <v>582.78679999999986</v>
      </c>
      <c r="D6" s="50">
        <v>60</v>
      </c>
      <c r="E6" s="50">
        <f t="shared" si="0"/>
        <v>522.78679999999986</v>
      </c>
      <c r="F6" s="51">
        <f t="shared" si="1"/>
        <v>6273</v>
      </c>
      <c r="G6" s="51">
        <v>1000</v>
      </c>
      <c r="I6" s="58" t="s">
        <v>25</v>
      </c>
      <c r="J6" s="32" t="s">
        <v>302</v>
      </c>
      <c r="K6" s="50">
        <v>63.47</v>
      </c>
      <c r="L6" s="50">
        <v>29</v>
      </c>
      <c r="M6" s="50">
        <f t="shared" si="2"/>
        <v>34.47</v>
      </c>
      <c r="N6" s="54">
        <f t="shared" si="3"/>
        <v>414</v>
      </c>
      <c r="P6" s="59" t="s">
        <v>49</v>
      </c>
      <c r="Q6" s="32" t="s">
        <v>303</v>
      </c>
      <c r="R6" s="50">
        <v>0</v>
      </c>
      <c r="S6" s="57">
        <f t="shared" si="4"/>
        <v>0</v>
      </c>
    </row>
    <row r="7" spans="1:19" x14ac:dyDescent="0.35">
      <c r="A7" s="91" t="s">
        <v>52</v>
      </c>
      <c r="B7" s="32" t="s">
        <v>349</v>
      </c>
      <c r="C7" s="50">
        <f>1164.42*$C$23</f>
        <v>1188.87282</v>
      </c>
      <c r="D7" s="50">
        <v>296</v>
      </c>
      <c r="E7" s="50">
        <f t="shared" si="0"/>
        <v>892.87282000000005</v>
      </c>
      <c r="F7" s="51">
        <f t="shared" si="1"/>
        <v>10714</v>
      </c>
      <c r="G7" s="51">
        <v>1500</v>
      </c>
      <c r="I7" s="58" t="s">
        <v>18</v>
      </c>
      <c r="J7" s="32" t="s">
        <v>304</v>
      </c>
      <c r="K7" s="50">
        <v>127.31</v>
      </c>
      <c r="L7" s="50">
        <v>64</v>
      </c>
      <c r="M7" s="50">
        <f t="shared" si="2"/>
        <v>63.31</v>
      </c>
      <c r="N7" s="54">
        <f t="shared" si="3"/>
        <v>760</v>
      </c>
    </row>
    <row r="8" spans="1:19" x14ac:dyDescent="0.35">
      <c r="A8" s="91" t="s">
        <v>50</v>
      </c>
      <c r="B8" s="32" t="s">
        <v>350</v>
      </c>
      <c r="C8" s="50">
        <f>1107.31*$C$23</f>
        <v>1130.56351</v>
      </c>
      <c r="D8" s="50">
        <v>210</v>
      </c>
      <c r="E8" s="50">
        <f t="shared" si="0"/>
        <v>920.56350999999995</v>
      </c>
      <c r="F8" s="51">
        <f t="shared" si="1"/>
        <v>11047</v>
      </c>
      <c r="G8" s="51">
        <v>1500</v>
      </c>
      <c r="I8" s="58" t="s">
        <v>305</v>
      </c>
      <c r="J8" s="32" t="s">
        <v>302</v>
      </c>
      <c r="K8" s="50">
        <v>127.31</v>
      </c>
      <c r="L8" s="50">
        <v>0</v>
      </c>
      <c r="M8" s="50">
        <f t="shared" si="2"/>
        <v>127.31</v>
      </c>
      <c r="N8" s="54">
        <f t="shared" si="3"/>
        <v>1528</v>
      </c>
    </row>
    <row r="9" spans="1:19" x14ac:dyDescent="0.35">
      <c r="A9" s="91" t="s">
        <v>126</v>
      </c>
      <c r="B9" s="32" t="s">
        <v>351</v>
      </c>
      <c r="C9" s="50">
        <f>1849.36*$C$23</f>
        <v>1888.1965599999996</v>
      </c>
      <c r="D9" s="50">
        <v>410</v>
      </c>
      <c r="E9" s="50">
        <f t="shared" si="0"/>
        <v>1478.1965599999996</v>
      </c>
      <c r="F9" s="51">
        <f t="shared" si="1"/>
        <v>17738</v>
      </c>
      <c r="G9" s="51">
        <v>1500</v>
      </c>
      <c r="I9" s="58" t="s">
        <v>49</v>
      </c>
      <c r="J9" s="32" t="s">
        <v>303</v>
      </c>
      <c r="K9" s="50">
        <v>0</v>
      </c>
      <c r="L9" s="50">
        <v>0</v>
      </c>
      <c r="M9" s="50">
        <f t="shared" si="2"/>
        <v>0</v>
      </c>
      <c r="N9" s="54">
        <f t="shared" si="3"/>
        <v>0</v>
      </c>
    </row>
    <row r="10" spans="1:19" x14ac:dyDescent="0.35">
      <c r="A10" s="91" t="s">
        <v>43</v>
      </c>
      <c r="B10" s="32" t="s">
        <v>352</v>
      </c>
      <c r="C10" s="50">
        <f>590.1*$C$23</f>
        <v>602.49209999999994</v>
      </c>
      <c r="D10" s="50">
        <v>30</v>
      </c>
      <c r="E10" s="50">
        <f t="shared" si="0"/>
        <v>572.49209999999994</v>
      </c>
      <c r="F10" s="51">
        <f t="shared" si="1"/>
        <v>6870</v>
      </c>
      <c r="G10" s="51">
        <v>0</v>
      </c>
    </row>
    <row r="11" spans="1:19" x14ac:dyDescent="0.35">
      <c r="A11" s="91" t="s">
        <v>115</v>
      </c>
      <c r="B11" s="32" t="s">
        <v>353</v>
      </c>
      <c r="C11" s="50">
        <f>1203.79*$C$23</f>
        <v>1229.0695899999998</v>
      </c>
      <c r="D11" s="50">
        <v>336</v>
      </c>
      <c r="E11" s="50">
        <f t="shared" si="0"/>
        <v>893.06958999999983</v>
      </c>
      <c r="F11" s="51">
        <f t="shared" si="1"/>
        <v>10717</v>
      </c>
      <c r="G11" s="51">
        <v>0</v>
      </c>
    </row>
    <row r="12" spans="1:19" x14ac:dyDescent="0.35">
      <c r="A12" s="91" t="s">
        <v>81</v>
      </c>
      <c r="B12" s="32" t="s">
        <v>354</v>
      </c>
      <c r="C12" s="50">
        <f>1144.76*$C$23</f>
        <v>1168.7999599999998</v>
      </c>
      <c r="D12" s="50">
        <v>248</v>
      </c>
      <c r="E12" s="50">
        <f t="shared" si="0"/>
        <v>920.79995999999983</v>
      </c>
      <c r="F12" s="51">
        <f t="shared" si="1"/>
        <v>11050</v>
      </c>
      <c r="G12" s="51">
        <v>0</v>
      </c>
    </row>
    <row r="13" spans="1:19" x14ac:dyDescent="0.35">
      <c r="A13" s="91" t="s">
        <v>78</v>
      </c>
      <c r="B13" s="32" t="s">
        <v>355</v>
      </c>
      <c r="C13" s="50">
        <f>1911.89*$C$23</f>
        <v>1952.0396899999998</v>
      </c>
      <c r="D13" s="50">
        <v>450</v>
      </c>
      <c r="E13" s="50">
        <f t="shared" si="0"/>
        <v>1502.0396899999998</v>
      </c>
      <c r="F13" s="51">
        <f t="shared" si="1"/>
        <v>18024</v>
      </c>
      <c r="G13" s="51">
        <v>0</v>
      </c>
    </row>
    <row r="14" spans="1:19" x14ac:dyDescent="0.35">
      <c r="A14" s="91" t="s">
        <v>24</v>
      </c>
      <c r="B14" s="32" t="s">
        <v>356</v>
      </c>
      <c r="C14" s="50">
        <f>688.4*$C$23</f>
        <v>702.85639999999989</v>
      </c>
      <c r="D14" s="50">
        <v>100</v>
      </c>
      <c r="E14" s="50">
        <f t="shared" si="0"/>
        <v>602.85639999999989</v>
      </c>
      <c r="F14" s="51">
        <f t="shared" si="1"/>
        <v>7234</v>
      </c>
      <c r="G14" s="51">
        <v>0</v>
      </c>
    </row>
    <row r="15" spans="1:19" x14ac:dyDescent="0.35">
      <c r="A15" s="91" t="s">
        <v>26</v>
      </c>
      <c r="B15" s="32" t="s">
        <v>357</v>
      </c>
      <c r="C15" s="50">
        <f>1404.34*$C$23</f>
        <v>1433.8311399999998</v>
      </c>
      <c r="D15" s="50">
        <v>400</v>
      </c>
      <c r="E15" s="50">
        <f t="shared" si="0"/>
        <v>1033.8311399999998</v>
      </c>
      <c r="F15" s="51">
        <f t="shared" si="1"/>
        <v>12406</v>
      </c>
      <c r="G15" s="51">
        <v>0</v>
      </c>
    </row>
    <row r="16" spans="1:19" x14ac:dyDescent="0.35">
      <c r="A16" s="91" t="s">
        <v>170</v>
      </c>
      <c r="B16" s="32" t="s">
        <v>358</v>
      </c>
      <c r="C16" s="50">
        <f>1335.47*$C$23</f>
        <v>1363.51487</v>
      </c>
      <c r="D16" s="50">
        <v>310</v>
      </c>
      <c r="E16" s="50">
        <f t="shared" si="0"/>
        <v>1053.51487</v>
      </c>
      <c r="F16" s="51">
        <f t="shared" si="1"/>
        <v>12642</v>
      </c>
      <c r="G16" s="51">
        <v>0</v>
      </c>
    </row>
    <row r="17" spans="1:7" x14ac:dyDescent="0.35">
      <c r="A17" s="91" t="s">
        <v>19</v>
      </c>
      <c r="B17" s="32" t="s">
        <v>359</v>
      </c>
      <c r="C17" s="50">
        <f>2230.4*$C$23</f>
        <v>2277.2383999999997</v>
      </c>
      <c r="D17" s="50">
        <v>574</v>
      </c>
      <c r="E17" s="50">
        <f t="shared" si="0"/>
        <v>1703.2383999999997</v>
      </c>
      <c r="F17" s="51">
        <f t="shared" si="1"/>
        <v>20439</v>
      </c>
      <c r="G17" s="51">
        <v>0</v>
      </c>
    </row>
    <row r="18" spans="1:7" x14ac:dyDescent="0.35">
      <c r="A18" s="60" t="s">
        <v>306</v>
      </c>
      <c r="B18" s="32" t="s">
        <v>307</v>
      </c>
      <c r="C18" s="50">
        <f>2230.4*$C$23</f>
        <v>2277.2383999999997</v>
      </c>
      <c r="D18" s="50">
        <v>0</v>
      </c>
      <c r="E18" s="50">
        <f t="shared" si="0"/>
        <v>2277.2383999999997</v>
      </c>
      <c r="F18" s="51">
        <f t="shared" si="1"/>
        <v>27327</v>
      </c>
      <c r="G18" s="51">
        <v>0</v>
      </c>
    </row>
    <row r="19" spans="1:7" x14ac:dyDescent="0.35">
      <c r="A19" s="60" t="s">
        <v>49</v>
      </c>
      <c r="B19" s="32" t="s">
        <v>303</v>
      </c>
      <c r="C19" s="50">
        <v>0</v>
      </c>
      <c r="D19" s="50">
        <v>0</v>
      </c>
      <c r="E19" s="50">
        <f t="shared" si="0"/>
        <v>0</v>
      </c>
      <c r="F19" s="51">
        <f t="shared" si="1"/>
        <v>0</v>
      </c>
      <c r="G19" s="51">
        <v>0</v>
      </c>
    </row>
    <row r="23" spans="1:7" x14ac:dyDescent="0.35">
      <c r="C23" s="211">
        <v>1.0209999999999999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EA92-748A-4EFD-91E9-682943C9B093}">
  <dimension ref="A1:D15"/>
  <sheetViews>
    <sheetView workbookViewId="0">
      <selection activeCell="B8" sqref="B8"/>
    </sheetView>
  </sheetViews>
  <sheetFormatPr defaultColWidth="9.1796875" defaultRowHeight="14.5" x14ac:dyDescent="0.35"/>
  <cols>
    <col min="1" max="1" width="9.1796875" style="9"/>
    <col min="2" max="2" width="11.7265625" style="9" bestFit="1" customWidth="1"/>
    <col min="3" max="3" width="9" style="9" bestFit="1" customWidth="1"/>
    <col min="4" max="16384" width="9.1796875" style="9"/>
  </cols>
  <sheetData>
    <row r="1" spans="1:4" x14ac:dyDescent="0.35">
      <c r="A1" s="9" t="s">
        <v>308</v>
      </c>
      <c r="B1" s="61">
        <v>260</v>
      </c>
    </row>
    <row r="2" spans="1:4" x14ac:dyDescent="0.35">
      <c r="A2" s="9" t="s">
        <v>309</v>
      </c>
      <c r="B2" s="61">
        <f>B1*26*6</f>
        <v>40560</v>
      </c>
    </row>
    <row r="3" spans="1:4" x14ac:dyDescent="0.35">
      <c r="A3" s="9" t="s">
        <v>310</v>
      </c>
      <c r="B3" s="61">
        <f>B1*26*5</f>
        <v>33800</v>
      </c>
    </row>
    <row r="4" spans="1:4" x14ac:dyDescent="0.35">
      <c r="B4" s="61">
        <f>SUBTOTAL(9,B2:B3)</f>
        <v>74360</v>
      </c>
    </row>
    <row r="5" spans="1:4" x14ac:dyDescent="0.35">
      <c r="A5" s="9" t="s">
        <v>311</v>
      </c>
      <c r="B5" s="61" t="s">
        <v>312</v>
      </c>
      <c r="C5" s="9" t="s">
        <v>5</v>
      </c>
      <c r="D5" s="9" t="s">
        <v>313</v>
      </c>
    </row>
    <row r="6" spans="1:4" x14ac:dyDescent="0.35">
      <c r="A6" s="62" t="s">
        <v>47</v>
      </c>
      <c r="B6" s="63">
        <f>$B$4*C6</f>
        <v>5720</v>
      </c>
      <c r="C6" s="11">
        <f>D6/13</f>
        <v>7.6923076923076927E-2</v>
      </c>
      <c r="D6" s="9">
        <v>1</v>
      </c>
    </row>
    <row r="7" spans="1:4" x14ac:dyDescent="0.35">
      <c r="A7" s="62" t="s">
        <v>89</v>
      </c>
      <c r="B7" s="63">
        <f>$B$4*C7</f>
        <v>68640</v>
      </c>
      <c r="C7" s="11">
        <f>D7/13</f>
        <v>0.92307692307692313</v>
      </c>
      <c r="D7" s="9">
        <v>12</v>
      </c>
    </row>
    <row r="8" spans="1:4" x14ac:dyDescent="0.35">
      <c r="A8" s="62"/>
    </row>
    <row r="9" spans="1:4" x14ac:dyDescent="0.35">
      <c r="A9" s="9" t="s">
        <v>314</v>
      </c>
      <c r="B9" s="61">
        <v>120</v>
      </c>
      <c r="C9" s="61">
        <f>B9*52</f>
        <v>6240</v>
      </c>
    </row>
    <row r="10" spans="1:4" x14ac:dyDescent="0.35">
      <c r="A10" s="9">
        <v>32</v>
      </c>
      <c r="B10" s="61">
        <f>$C$9*C10</f>
        <v>6240</v>
      </c>
      <c r="C10" s="64">
        <f>D10/5</f>
        <v>1</v>
      </c>
      <c r="D10" s="9">
        <v>5</v>
      </c>
    </row>
    <row r="12" spans="1:4" x14ac:dyDescent="0.35">
      <c r="A12" s="9" t="s">
        <v>315</v>
      </c>
    </row>
    <row r="13" spans="1:4" x14ac:dyDescent="0.35">
      <c r="A13" s="9" t="s">
        <v>316</v>
      </c>
      <c r="B13" s="61">
        <v>290</v>
      </c>
      <c r="C13" s="61">
        <f>B13*52</f>
        <v>15080</v>
      </c>
    </row>
    <row r="14" spans="1:4" x14ac:dyDescent="0.35">
      <c r="A14" s="9" t="s">
        <v>317</v>
      </c>
      <c r="B14" s="61">
        <v>170</v>
      </c>
      <c r="C14" s="61">
        <f>B14*52</f>
        <v>8840</v>
      </c>
    </row>
    <row r="15" spans="1:4" x14ac:dyDescent="0.35">
      <c r="B15" s="61"/>
      <c r="C15" s="61">
        <f>SUBTOTAL(9,C13:C14)</f>
        <v>23920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8921-2386-4131-85DD-53475331ADE3}">
  <dimension ref="A1:I60"/>
  <sheetViews>
    <sheetView workbookViewId="0">
      <pane ySplit="1" topLeftCell="A2" activePane="bottomLeft" state="frozen"/>
      <selection pane="bottomLeft" activeCell="E65" sqref="E65"/>
    </sheetView>
  </sheetViews>
  <sheetFormatPr defaultColWidth="8.7265625" defaultRowHeight="14.5" outlineLevelRow="1" x14ac:dyDescent="0.35"/>
  <cols>
    <col min="1" max="1" width="18.1796875" style="147" bestFit="1" customWidth="1"/>
    <col min="2" max="2" width="18" style="147" bestFit="1" customWidth="1"/>
    <col min="3" max="3" width="2.81640625" style="160" bestFit="1" customWidth="1"/>
    <col min="4" max="4" width="16.1796875" style="160" bestFit="1" customWidth="1"/>
    <col min="5" max="5" width="10.453125" style="160" bestFit="1" customWidth="1"/>
    <col min="6" max="6" width="9.453125" style="160" bestFit="1" customWidth="1"/>
    <col min="7" max="7" width="8.81640625" style="160" bestFit="1" customWidth="1"/>
    <col min="8" max="8" width="12" style="160" bestFit="1" customWidth="1"/>
    <col min="9" max="9" width="10.54296875" style="153" bestFit="1" customWidth="1"/>
    <col min="10" max="16384" width="8.7265625" style="147"/>
  </cols>
  <sheetData>
    <row r="1" spans="1:9" x14ac:dyDescent="0.35">
      <c r="A1" s="143" t="s">
        <v>472</v>
      </c>
      <c r="B1" s="143" t="s">
        <v>287</v>
      </c>
      <c r="C1" s="144" t="s">
        <v>473</v>
      </c>
      <c r="D1" s="144" t="s">
        <v>474</v>
      </c>
      <c r="E1" s="145" t="s">
        <v>475</v>
      </c>
      <c r="F1" s="145" t="s">
        <v>476</v>
      </c>
      <c r="G1" s="145" t="s">
        <v>477</v>
      </c>
      <c r="H1" s="145" t="s">
        <v>478</v>
      </c>
      <c r="I1" s="146" t="s">
        <v>479</v>
      </c>
    </row>
    <row r="2" spans="1:9" outlineLevel="1" x14ac:dyDescent="0.35">
      <c r="A2" s="148" t="s">
        <v>480</v>
      </c>
      <c r="B2" s="148" t="s">
        <v>481</v>
      </c>
      <c r="C2" s="149">
        <v>50</v>
      </c>
      <c r="D2" s="150">
        <v>767.11</v>
      </c>
      <c r="E2" s="151">
        <f>D2-F2</f>
        <v>383.55500000000001</v>
      </c>
      <c r="F2" s="151">
        <f>D2/2</f>
        <v>383.55500000000001</v>
      </c>
      <c r="G2" s="152" t="s">
        <v>482</v>
      </c>
      <c r="H2" s="152" t="s">
        <v>483</v>
      </c>
      <c r="I2" s="153">
        <f>ROUNDUP(E2*12,-1)</f>
        <v>4610</v>
      </c>
    </row>
    <row r="3" spans="1:9" outlineLevel="1" x14ac:dyDescent="0.35">
      <c r="A3" s="148" t="s">
        <v>484</v>
      </c>
      <c r="B3" s="154" t="s">
        <v>485</v>
      </c>
      <c r="C3" s="155">
        <v>50</v>
      </c>
      <c r="D3" s="156">
        <v>38.42</v>
      </c>
      <c r="E3" s="151">
        <f>D3-F3</f>
        <v>19.21</v>
      </c>
      <c r="F3" s="151">
        <f>D3/2</f>
        <v>19.21</v>
      </c>
      <c r="G3" s="155" t="s">
        <v>482</v>
      </c>
      <c r="H3" s="155" t="s">
        <v>483</v>
      </c>
      <c r="I3" s="153">
        <f t="shared" ref="I3:I59" si="0">ROUNDUP(E3*12,-1)</f>
        <v>240</v>
      </c>
    </row>
    <row r="4" spans="1:9" x14ac:dyDescent="0.35">
      <c r="A4" s="213" t="s">
        <v>486</v>
      </c>
      <c r="B4" s="214"/>
      <c r="C4" s="214"/>
      <c r="D4" s="214"/>
      <c r="E4" s="214"/>
      <c r="F4" s="214"/>
      <c r="G4" s="214"/>
      <c r="H4" s="215"/>
      <c r="I4" s="153">
        <f>SUBTOTAL(9,I2:I3)</f>
        <v>4850</v>
      </c>
    </row>
    <row r="5" spans="1:9" outlineLevel="1" x14ac:dyDescent="0.35">
      <c r="A5" s="148" t="s">
        <v>487</v>
      </c>
      <c r="B5" s="154" t="s">
        <v>488</v>
      </c>
      <c r="C5" s="155">
        <v>50</v>
      </c>
      <c r="D5" s="156">
        <v>63.47</v>
      </c>
      <c r="E5" s="151">
        <f>D5-F5</f>
        <v>31.734999999999999</v>
      </c>
      <c r="F5" s="151">
        <f>D5/2</f>
        <v>31.734999999999999</v>
      </c>
      <c r="G5" s="155" t="s">
        <v>489</v>
      </c>
      <c r="H5" s="155" t="s">
        <v>490</v>
      </c>
      <c r="I5" s="153">
        <f t="shared" si="0"/>
        <v>390</v>
      </c>
    </row>
    <row r="6" spans="1:9" x14ac:dyDescent="0.35">
      <c r="A6" s="213" t="s">
        <v>491</v>
      </c>
      <c r="B6" s="214"/>
      <c r="C6" s="214"/>
      <c r="D6" s="214"/>
      <c r="E6" s="214"/>
      <c r="F6" s="214"/>
      <c r="G6" s="214"/>
      <c r="H6" s="215"/>
      <c r="I6" s="153">
        <f>SUBTOTAL(9,I5)</f>
        <v>390</v>
      </c>
    </row>
    <row r="7" spans="1:9" outlineLevel="1" x14ac:dyDescent="0.35">
      <c r="A7" s="148" t="s">
        <v>487</v>
      </c>
      <c r="B7" s="154" t="s">
        <v>488</v>
      </c>
      <c r="C7" s="155">
        <v>50</v>
      </c>
      <c r="D7" s="156">
        <v>63.47</v>
      </c>
      <c r="E7" s="151">
        <f>D7-F7</f>
        <v>31.734999999999999</v>
      </c>
      <c r="F7" s="151">
        <f>D7/2</f>
        <v>31.734999999999999</v>
      </c>
      <c r="G7" s="155" t="s">
        <v>492</v>
      </c>
      <c r="H7" s="155" t="s">
        <v>490</v>
      </c>
      <c r="I7" s="153">
        <f t="shared" si="0"/>
        <v>390</v>
      </c>
    </row>
    <row r="8" spans="1:9" x14ac:dyDescent="0.35">
      <c r="A8" s="213" t="s">
        <v>493</v>
      </c>
      <c r="B8" s="214"/>
      <c r="C8" s="214"/>
      <c r="D8" s="214"/>
      <c r="E8" s="214"/>
      <c r="F8" s="214"/>
      <c r="G8" s="214"/>
      <c r="H8" s="215"/>
      <c r="I8" s="153">
        <f>SUBTOTAL(9,I7)</f>
        <v>390</v>
      </c>
    </row>
    <row r="9" spans="1:9" outlineLevel="1" x14ac:dyDescent="0.35">
      <c r="A9" s="148" t="s">
        <v>487</v>
      </c>
      <c r="B9" s="154" t="s">
        <v>488</v>
      </c>
      <c r="C9" s="155">
        <v>75</v>
      </c>
      <c r="D9" s="156">
        <v>63.47</v>
      </c>
      <c r="E9" s="151">
        <f>D9-F9</f>
        <v>15.8675</v>
      </c>
      <c r="F9" s="151">
        <f>D9*0.75</f>
        <v>47.602499999999999</v>
      </c>
      <c r="G9" s="155" t="s">
        <v>494</v>
      </c>
      <c r="H9" s="155" t="s">
        <v>490</v>
      </c>
      <c r="I9" s="153">
        <f t="shared" si="0"/>
        <v>200</v>
      </c>
    </row>
    <row r="10" spans="1:9" x14ac:dyDescent="0.35">
      <c r="A10" s="213" t="s">
        <v>495</v>
      </c>
      <c r="B10" s="214"/>
      <c r="C10" s="214"/>
      <c r="D10" s="214"/>
      <c r="E10" s="214"/>
      <c r="F10" s="214"/>
      <c r="G10" s="214"/>
      <c r="H10" s="215"/>
      <c r="I10" s="153">
        <f>SUBTOTAL(9,I9)</f>
        <v>200</v>
      </c>
    </row>
    <row r="11" spans="1:9" outlineLevel="1" x14ac:dyDescent="0.35">
      <c r="A11" s="148" t="s">
        <v>496</v>
      </c>
      <c r="B11" s="154" t="s">
        <v>485</v>
      </c>
      <c r="C11" s="155">
        <v>50</v>
      </c>
      <c r="D11" s="156">
        <v>38.42</v>
      </c>
      <c r="E11" s="151">
        <f>D11-F11</f>
        <v>19.21</v>
      </c>
      <c r="F11" s="151">
        <f>D11/2</f>
        <v>19.21</v>
      </c>
      <c r="G11" s="155" t="s">
        <v>497</v>
      </c>
      <c r="H11" s="155" t="s">
        <v>498</v>
      </c>
      <c r="I11" s="153">
        <f t="shared" si="0"/>
        <v>240</v>
      </c>
    </row>
    <row r="12" spans="1:9" x14ac:dyDescent="0.35">
      <c r="A12" s="213" t="s">
        <v>499</v>
      </c>
      <c r="B12" s="214"/>
      <c r="C12" s="214"/>
      <c r="D12" s="214"/>
      <c r="E12" s="214"/>
      <c r="F12" s="214"/>
      <c r="G12" s="214"/>
      <c r="H12" s="215"/>
      <c r="I12" s="153">
        <f>SUBTOTAL(9,I11)</f>
        <v>240</v>
      </c>
    </row>
    <row r="13" spans="1:9" outlineLevel="1" x14ac:dyDescent="0.35">
      <c r="A13" s="148" t="s">
        <v>500</v>
      </c>
      <c r="B13" s="154" t="s">
        <v>485</v>
      </c>
      <c r="C13" s="155">
        <v>70</v>
      </c>
      <c r="D13" s="156">
        <v>38.42</v>
      </c>
      <c r="E13" s="151">
        <f>D13-F13</f>
        <v>11.526000000000003</v>
      </c>
      <c r="F13" s="151">
        <f>D13*0.7</f>
        <v>26.893999999999998</v>
      </c>
      <c r="G13" s="155" t="s">
        <v>501</v>
      </c>
      <c r="H13" s="155" t="s">
        <v>502</v>
      </c>
      <c r="I13" s="153">
        <f t="shared" si="0"/>
        <v>140</v>
      </c>
    </row>
    <row r="14" spans="1:9" x14ac:dyDescent="0.35">
      <c r="A14" s="213" t="s">
        <v>503</v>
      </c>
      <c r="B14" s="214"/>
      <c r="C14" s="214"/>
      <c r="D14" s="214"/>
      <c r="E14" s="214"/>
      <c r="F14" s="214"/>
      <c r="G14" s="214"/>
      <c r="H14" s="215"/>
      <c r="I14" s="153">
        <f>SUBTOTAL(9,I13)</f>
        <v>140</v>
      </c>
    </row>
    <row r="15" spans="1:9" outlineLevel="1" x14ac:dyDescent="0.35">
      <c r="A15" s="148" t="s">
        <v>480</v>
      </c>
      <c r="B15" s="148" t="s">
        <v>504</v>
      </c>
      <c r="C15" s="149">
        <v>50</v>
      </c>
      <c r="D15" s="150">
        <v>1513.66</v>
      </c>
      <c r="E15" s="151">
        <f>D15-F15</f>
        <v>756.83</v>
      </c>
      <c r="F15" s="151">
        <v>756.83</v>
      </c>
      <c r="G15" s="152" t="s">
        <v>505</v>
      </c>
      <c r="H15" s="152" t="s">
        <v>506</v>
      </c>
      <c r="I15" s="153">
        <f t="shared" si="0"/>
        <v>9090</v>
      </c>
    </row>
    <row r="16" spans="1:9" outlineLevel="1" x14ac:dyDescent="0.35">
      <c r="A16" s="148" t="s">
        <v>480</v>
      </c>
      <c r="B16" s="148" t="s">
        <v>504</v>
      </c>
      <c r="C16" s="149">
        <v>0</v>
      </c>
      <c r="D16" s="150">
        <v>1564.9</v>
      </c>
      <c r="E16" s="151">
        <f>D16-F16</f>
        <v>1564.9</v>
      </c>
      <c r="F16" s="151">
        <v>0</v>
      </c>
      <c r="G16" s="152" t="s">
        <v>505</v>
      </c>
      <c r="H16" s="152" t="s">
        <v>506</v>
      </c>
      <c r="I16" s="153">
        <f t="shared" si="0"/>
        <v>18780</v>
      </c>
    </row>
    <row r="17" spans="1:9" outlineLevel="1" x14ac:dyDescent="0.35">
      <c r="A17" s="148" t="s">
        <v>507</v>
      </c>
      <c r="B17" s="154" t="s">
        <v>508</v>
      </c>
      <c r="C17" s="155">
        <v>50</v>
      </c>
      <c r="D17" s="157">
        <v>63.47</v>
      </c>
      <c r="E17" s="151">
        <f>D17-F17</f>
        <v>31.734999999999999</v>
      </c>
      <c r="F17" s="158">
        <f>D17/2</f>
        <v>31.734999999999999</v>
      </c>
      <c r="G17" s="155" t="s">
        <v>505</v>
      </c>
      <c r="H17" s="155" t="s">
        <v>506</v>
      </c>
      <c r="I17" s="153">
        <f t="shared" si="0"/>
        <v>390</v>
      </c>
    </row>
    <row r="18" spans="1:9" outlineLevel="1" x14ac:dyDescent="0.35">
      <c r="A18" s="148" t="s">
        <v>507</v>
      </c>
      <c r="B18" s="154" t="s">
        <v>485</v>
      </c>
      <c r="C18" s="155">
        <v>75</v>
      </c>
      <c r="D18" s="156">
        <v>38.42</v>
      </c>
      <c r="E18" s="151">
        <f>D18-F18</f>
        <v>9.6050000000000004</v>
      </c>
      <c r="F18" s="151">
        <f>D18*0.75</f>
        <v>28.815000000000001</v>
      </c>
      <c r="G18" s="155" t="s">
        <v>505</v>
      </c>
      <c r="H18" s="155" t="s">
        <v>506</v>
      </c>
      <c r="I18" s="153">
        <f t="shared" si="0"/>
        <v>120</v>
      </c>
    </row>
    <row r="19" spans="1:9" outlineLevel="1" x14ac:dyDescent="0.35">
      <c r="A19" s="148" t="s">
        <v>507</v>
      </c>
      <c r="B19" s="154" t="s">
        <v>485</v>
      </c>
      <c r="C19" s="155">
        <v>75</v>
      </c>
      <c r="D19" s="156">
        <v>38.42</v>
      </c>
      <c r="E19" s="151">
        <f>D19-F19</f>
        <v>9.6050000000000004</v>
      </c>
      <c r="F19" s="151">
        <f>D19*0.75</f>
        <v>28.815000000000001</v>
      </c>
      <c r="G19" s="155" t="s">
        <v>505</v>
      </c>
      <c r="H19" s="155" t="s">
        <v>506</v>
      </c>
      <c r="I19" s="153">
        <f t="shared" si="0"/>
        <v>120</v>
      </c>
    </row>
    <row r="20" spans="1:9" x14ac:dyDescent="0.35">
      <c r="A20" s="213" t="s">
        <v>509</v>
      </c>
      <c r="B20" s="214"/>
      <c r="C20" s="214"/>
      <c r="D20" s="214"/>
      <c r="E20" s="214"/>
      <c r="F20" s="214"/>
      <c r="G20" s="214"/>
      <c r="H20" s="215"/>
      <c r="I20" s="153">
        <f>SUBTOTAL(9,I15:I19)</f>
        <v>28500</v>
      </c>
    </row>
    <row r="21" spans="1:9" outlineLevel="1" x14ac:dyDescent="0.35">
      <c r="A21" s="148" t="s">
        <v>480</v>
      </c>
      <c r="B21" s="148" t="s">
        <v>504</v>
      </c>
      <c r="C21" s="149">
        <v>0</v>
      </c>
      <c r="D21" s="150">
        <v>1564.9</v>
      </c>
      <c r="E21" s="151">
        <f t="shared" ref="E21:E37" si="1">D21-F21</f>
        <v>1564.9</v>
      </c>
      <c r="F21" s="151">
        <v>0</v>
      </c>
      <c r="G21" s="152" t="s">
        <v>510</v>
      </c>
      <c r="H21" s="152" t="s">
        <v>506</v>
      </c>
      <c r="I21" s="153">
        <f t="shared" si="0"/>
        <v>18780</v>
      </c>
    </row>
    <row r="22" spans="1:9" outlineLevel="1" x14ac:dyDescent="0.35">
      <c r="A22" s="148" t="s">
        <v>480</v>
      </c>
      <c r="B22" s="148" t="s">
        <v>511</v>
      </c>
      <c r="C22" s="149">
        <v>0</v>
      </c>
      <c r="D22" s="150">
        <v>1564.9</v>
      </c>
      <c r="E22" s="151">
        <f t="shared" si="1"/>
        <v>1564.9</v>
      </c>
      <c r="F22" s="151">
        <v>0</v>
      </c>
      <c r="G22" s="152" t="s">
        <v>510</v>
      </c>
      <c r="H22" s="152" t="s">
        <v>506</v>
      </c>
      <c r="I22" s="153">
        <f t="shared" si="0"/>
        <v>18780</v>
      </c>
    </row>
    <row r="23" spans="1:9" outlineLevel="1" x14ac:dyDescent="0.35">
      <c r="A23" s="148" t="s">
        <v>480</v>
      </c>
      <c r="B23" s="148" t="s">
        <v>512</v>
      </c>
      <c r="C23" s="149">
        <v>0</v>
      </c>
      <c r="D23" s="150">
        <v>894.94</v>
      </c>
      <c r="E23" s="151">
        <f t="shared" si="1"/>
        <v>894.94</v>
      </c>
      <c r="F23" s="151">
        <v>0</v>
      </c>
      <c r="G23" s="152" t="s">
        <v>510</v>
      </c>
      <c r="H23" s="152" t="s">
        <v>506</v>
      </c>
      <c r="I23" s="153">
        <f t="shared" si="0"/>
        <v>10740</v>
      </c>
    </row>
    <row r="24" spans="1:9" outlineLevel="1" x14ac:dyDescent="0.35">
      <c r="A24" s="148" t="s">
        <v>480</v>
      </c>
      <c r="B24" s="148" t="s">
        <v>512</v>
      </c>
      <c r="C24" s="149">
        <v>50</v>
      </c>
      <c r="D24" s="150">
        <v>767.11</v>
      </c>
      <c r="E24" s="151">
        <f t="shared" si="1"/>
        <v>383.55500000000001</v>
      </c>
      <c r="F24" s="151">
        <f t="shared" ref="F24:F30" si="2">D24/2</f>
        <v>383.55500000000001</v>
      </c>
      <c r="G24" s="152" t="s">
        <v>510</v>
      </c>
      <c r="H24" s="152" t="s">
        <v>506</v>
      </c>
      <c r="I24" s="153">
        <f t="shared" si="0"/>
        <v>4610</v>
      </c>
    </row>
    <row r="25" spans="1:9" outlineLevel="1" x14ac:dyDescent="0.35">
      <c r="A25" s="148" t="s">
        <v>513</v>
      </c>
      <c r="B25" s="154" t="s">
        <v>488</v>
      </c>
      <c r="C25" s="155">
        <v>50</v>
      </c>
      <c r="D25" s="156">
        <v>63.47</v>
      </c>
      <c r="E25" s="151">
        <f t="shared" si="1"/>
        <v>31.734999999999999</v>
      </c>
      <c r="F25" s="151">
        <f t="shared" si="2"/>
        <v>31.734999999999999</v>
      </c>
      <c r="G25" s="152" t="s">
        <v>510</v>
      </c>
      <c r="H25" s="155" t="s">
        <v>506</v>
      </c>
      <c r="I25" s="153">
        <f t="shared" si="0"/>
        <v>390</v>
      </c>
    </row>
    <row r="26" spans="1:9" outlineLevel="1" x14ac:dyDescent="0.35">
      <c r="A26" s="148" t="s">
        <v>513</v>
      </c>
      <c r="B26" s="154" t="s">
        <v>488</v>
      </c>
      <c r="C26" s="155">
        <v>50</v>
      </c>
      <c r="D26" s="156">
        <v>63.47</v>
      </c>
      <c r="E26" s="151">
        <f t="shared" si="1"/>
        <v>31.734999999999999</v>
      </c>
      <c r="F26" s="151">
        <f t="shared" si="2"/>
        <v>31.734999999999999</v>
      </c>
      <c r="G26" s="152" t="s">
        <v>510</v>
      </c>
      <c r="H26" s="155" t="s">
        <v>506</v>
      </c>
      <c r="I26" s="153">
        <f t="shared" si="0"/>
        <v>390</v>
      </c>
    </row>
    <row r="27" spans="1:9" outlineLevel="1" x14ac:dyDescent="0.35">
      <c r="A27" s="148" t="s">
        <v>513</v>
      </c>
      <c r="B27" s="154" t="s">
        <v>488</v>
      </c>
      <c r="C27" s="155">
        <v>50</v>
      </c>
      <c r="D27" s="156">
        <v>63.47</v>
      </c>
      <c r="E27" s="151">
        <f t="shared" si="1"/>
        <v>31.734999999999999</v>
      </c>
      <c r="F27" s="151">
        <f t="shared" si="2"/>
        <v>31.734999999999999</v>
      </c>
      <c r="G27" s="155" t="s">
        <v>510</v>
      </c>
      <c r="H27" s="155" t="s">
        <v>506</v>
      </c>
      <c r="I27" s="153">
        <f t="shared" si="0"/>
        <v>390</v>
      </c>
    </row>
    <row r="28" spans="1:9" outlineLevel="1" x14ac:dyDescent="0.35">
      <c r="A28" s="148" t="s">
        <v>513</v>
      </c>
      <c r="B28" s="154" t="s">
        <v>514</v>
      </c>
      <c r="C28" s="155">
        <v>50</v>
      </c>
      <c r="D28" s="156">
        <v>12.83</v>
      </c>
      <c r="E28" s="151">
        <f t="shared" si="1"/>
        <v>6.415</v>
      </c>
      <c r="F28" s="151">
        <f t="shared" si="2"/>
        <v>6.415</v>
      </c>
      <c r="G28" s="152" t="s">
        <v>510</v>
      </c>
      <c r="H28" s="155" t="s">
        <v>506</v>
      </c>
      <c r="I28" s="153">
        <f t="shared" si="0"/>
        <v>80</v>
      </c>
    </row>
    <row r="29" spans="1:9" outlineLevel="1" x14ac:dyDescent="0.35">
      <c r="A29" s="148" t="s">
        <v>513</v>
      </c>
      <c r="B29" s="154" t="s">
        <v>488</v>
      </c>
      <c r="C29" s="155">
        <v>50</v>
      </c>
      <c r="D29" s="156">
        <v>63.47</v>
      </c>
      <c r="E29" s="151">
        <f t="shared" si="1"/>
        <v>31.734999999999999</v>
      </c>
      <c r="F29" s="151">
        <f t="shared" si="2"/>
        <v>31.734999999999999</v>
      </c>
      <c r="G29" s="155" t="s">
        <v>510</v>
      </c>
      <c r="H29" s="155" t="s">
        <v>506</v>
      </c>
      <c r="I29" s="153">
        <f t="shared" si="0"/>
        <v>390</v>
      </c>
    </row>
    <row r="30" spans="1:9" outlineLevel="1" x14ac:dyDescent="0.35">
      <c r="A30" s="148" t="s">
        <v>515</v>
      </c>
      <c r="B30" s="154" t="s">
        <v>488</v>
      </c>
      <c r="C30" s="155">
        <v>50</v>
      </c>
      <c r="D30" s="156">
        <v>63.47</v>
      </c>
      <c r="E30" s="151">
        <f t="shared" si="1"/>
        <v>31.734999999999999</v>
      </c>
      <c r="F30" s="151">
        <f t="shared" si="2"/>
        <v>31.734999999999999</v>
      </c>
      <c r="G30" s="155" t="s">
        <v>510</v>
      </c>
      <c r="H30" s="155" t="s">
        <v>506</v>
      </c>
      <c r="I30" s="153">
        <f t="shared" si="0"/>
        <v>390</v>
      </c>
    </row>
    <row r="31" spans="1:9" outlineLevel="1" x14ac:dyDescent="0.35">
      <c r="A31" s="148" t="s">
        <v>480</v>
      </c>
      <c r="B31" s="148" t="s">
        <v>511</v>
      </c>
      <c r="C31" s="149">
        <v>0</v>
      </c>
      <c r="D31" s="150">
        <v>1564.9</v>
      </c>
      <c r="E31" s="151">
        <f t="shared" si="1"/>
        <v>1564.9</v>
      </c>
      <c r="F31" s="151">
        <v>0</v>
      </c>
      <c r="G31" s="152" t="s">
        <v>516</v>
      </c>
      <c r="H31" s="152" t="s">
        <v>506</v>
      </c>
      <c r="I31" s="153">
        <f t="shared" si="0"/>
        <v>18780</v>
      </c>
    </row>
    <row r="32" spans="1:9" outlineLevel="1" x14ac:dyDescent="0.35">
      <c r="A32" s="148" t="s">
        <v>480</v>
      </c>
      <c r="B32" s="148" t="s">
        <v>517</v>
      </c>
      <c r="C32" s="149">
        <v>50</v>
      </c>
      <c r="D32" s="150">
        <v>651.71</v>
      </c>
      <c r="E32" s="151">
        <f t="shared" si="1"/>
        <v>325.85500000000002</v>
      </c>
      <c r="F32" s="151">
        <f>D32/2</f>
        <v>325.85500000000002</v>
      </c>
      <c r="G32" s="152" t="s">
        <v>516</v>
      </c>
      <c r="H32" s="152" t="s">
        <v>506</v>
      </c>
      <c r="I32" s="153">
        <f t="shared" si="0"/>
        <v>3920</v>
      </c>
    </row>
    <row r="33" spans="1:9" outlineLevel="1" x14ac:dyDescent="0.35">
      <c r="A33" s="148" t="s">
        <v>518</v>
      </c>
      <c r="B33" s="154" t="s">
        <v>488</v>
      </c>
      <c r="C33" s="155">
        <v>50</v>
      </c>
      <c r="D33" s="156">
        <v>63.47</v>
      </c>
      <c r="E33" s="151">
        <f t="shared" si="1"/>
        <v>31.734999999999999</v>
      </c>
      <c r="F33" s="151">
        <f>D33/2</f>
        <v>31.734999999999999</v>
      </c>
      <c r="G33" s="155" t="s">
        <v>516</v>
      </c>
      <c r="H33" s="155" t="s">
        <v>506</v>
      </c>
      <c r="I33" s="153">
        <f t="shared" si="0"/>
        <v>390</v>
      </c>
    </row>
    <row r="34" spans="1:9" outlineLevel="1" x14ac:dyDescent="0.35">
      <c r="A34" s="148" t="s">
        <v>518</v>
      </c>
      <c r="B34" s="154" t="s">
        <v>488</v>
      </c>
      <c r="C34" s="155">
        <v>50</v>
      </c>
      <c r="D34" s="156">
        <v>63.47</v>
      </c>
      <c r="E34" s="151">
        <f t="shared" si="1"/>
        <v>31.734999999999999</v>
      </c>
      <c r="F34" s="151">
        <f>D34/2</f>
        <v>31.734999999999999</v>
      </c>
      <c r="G34" s="152" t="s">
        <v>516</v>
      </c>
      <c r="H34" s="155" t="s">
        <v>506</v>
      </c>
      <c r="I34" s="153">
        <f t="shared" si="0"/>
        <v>390</v>
      </c>
    </row>
    <row r="35" spans="1:9" outlineLevel="1" x14ac:dyDescent="0.35">
      <c r="A35" s="148" t="s">
        <v>518</v>
      </c>
      <c r="B35" s="154" t="s">
        <v>508</v>
      </c>
      <c r="C35" s="155">
        <v>50</v>
      </c>
      <c r="D35" s="156">
        <v>22.85</v>
      </c>
      <c r="E35" s="151">
        <f t="shared" si="1"/>
        <v>11.425000000000001</v>
      </c>
      <c r="F35" s="151">
        <f>D35/2</f>
        <v>11.425000000000001</v>
      </c>
      <c r="G35" s="155" t="s">
        <v>516</v>
      </c>
      <c r="H35" s="155" t="s">
        <v>506</v>
      </c>
      <c r="I35" s="153">
        <f t="shared" si="0"/>
        <v>140</v>
      </c>
    </row>
    <row r="36" spans="1:9" outlineLevel="1" x14ac:dyDescent="0.35">
      <c r="A36" s="148" t="s">
        <v>480</v>
      </c>
      <c r="B36" s="148" t="s">
        <v>519</v>
      </c>
      <c r="C36" s="149">
        <v>0</v>
      </c>
      <c r="D36" s="150">
        <v>2485.41</v>
      </c>
      <c r="E36" s="151">
        <f t="shared" si="1"/>
        <v>2485.41</v>
      </c>
      <c r="F36" s="151">
        <v>0</v>
      </c>
      <c r="G36" s="152" t="s">
        <v>520</v>
      </c>
      <c r="H36" s="152" t="s">
        <v>506</v>
      </c>
      <c r="I36" s="153">
        <f t="shared" si="0"/>
        <v>29830</v>
      </c>
    </row>
    <row r="37" spans="1:9" outlineLevel="1" x14ac:dyDescent="0.35">
      <c r="A37" s="159" t="s">
        <v>521</v>
      </c>
      <c r="B37" s="154" t="s">
        <v>485</v>
      </c>
      <c r="C37" s="155">
        <v>50</v>
      </c>
      <c r="D37" s="156">
        <v>38.42</v>
      </c>
      <c r="E37" s="151">
        <f t="shared" si="1"/>
        <v>19.21</v>
      </c>
      <c r="F37" s="151">
        <f>D37/2</f>
        <v>19.21</v>
      </c>
      <c r="G37" s="155" t="s">
        <v>520</v>
      </c>
      <c r="H37" s="155" t="s">
        <v>506</v>
      </c>
      <c r="I37" s="153">
        <f t="shared" si="0"/>
        <v>240</v>
      </c>
    </row>
    <row r="38" spans="1:9" x14ac:dyDescent="0.35">
      <c r="A38" s="217" t="s">
        <v>522</v>
      </c>
      <c r="B38" s="218"/>
      <c r="C38" s="218"/>
      <c r="D38" s="218"/>
      <c r="E38" s="218"/>
      <c r="F38" s="218"/>
      <c r="G38" s="218"/>
      <c r="H38" s="219"/>
      <c r="I38" s="153">
        <f>SUBTOTAL(9,I21:I37)</f>
        <v>108630</v>
      </c>
    </row>
    <row r="39" spans="1:9" outlineLevel="1" x14ac:dyDescent="0.35">
      <c r="A39" s="148" t="s">
        <v>523</v>
      </c>
      <c r="B39" s="154" t="s">
        <v>524</v>
      </c>
      <c r="C39" s="155">
        <v>50</v>
      </c>
      <c r="D39" s="156">
        <v>38.42</v>
      </c>
      <c r="E39" s="151">
        <f>D39-F39</f>
        <v>19.21</v>
      </c>
      <c r="F39" s="151">
        <f>D39/2</f>
        <v>19.21</v>
      </c>
      <c r="G39" s="155" t="s">
        <v>525</v>
      </c>
      <c r="H39" s="155" t="s">
        <v>526</v>
      </c>
      <c r="I39" s="153">
        <f t="shared" si="0"/>
        <v>240</v>
      </c>
    </row>
    <row r="40" spans="1:9" x14ac:dyDescent="0.35">
      <c r="A40" s="213" t="s">
        <v>527</v>
      </c>
      <c r="B40" s="214"/>
      <c r="C40" s="214"/>
      <c r="D40" s="214"/>
      <c r="E40" s="214"/>
      <c r="F40" s="214"/>
      <c r="G40" s="214"/>
      <c r="H40" s="215"/>
      <c r="I40" s="153">
        <f>SUBTOTAL(9,I39)</f>
        <v>240</v>
      </c>
    </row>
    <row r="41" spans="1:9" ht="29" outlineLevel="1" x14ac:dyDescent="0.35">
      <c r="A41" s="148" t="s">
        <v>480</v>
      </c>
      <c r="B41" s="148" t="s">
        <v>528</v>
      </c>
      <c r="C41" s="149">
        <v>50</v>
      </c>
      <c r="D41" s="150">
        <v>767.11</v>
      </c>
      <c r="E41" s="151">
        <f>D41-F41</f>
        <v>383.55500000000001</v>
      </c>
      <c r="F41" s="151">
        <f>D41/2</f>
        <v>383.55500000000001</v>
      </c>
      <c r="G41" s="152" t="s">
        <v>529</v>
      </c>
      <c r="H41" s="152" t="s">
        <v>526</v>
      </c>
      <c r="I41" s="153">
        <f t="shared" si="0"/>
        <v>4610</v>
      </c>
    </row>
    <row r="42" spans="1:9" outlineLevel="1" x14ac:dyDescent="0.35">
      <c r="A42" s="148" t="s">
        <v>530</v>
      </c>
      <c r="B42" s="154" t="s">
        <v>488</v>
      </c>
      <c r="C42" s="155">
        <v>50</v>
      </c>
      <c r="D42" s="156">
        <v>63.47</v>
      </c>
      <c r="E42" s="151">
        <f>D42-F42</f>
        <v>31.734999999999999</v>
      </c>
      <c r="F42" s="151">
        <f>D42/2</f>
        <v>31.734999999999999</v>
      </c>
      <c r="G42" s="155" t="s">
        <v>529</v>
      </c>
      <c r="H42" s="155" t="s">
        <v>526</v>
      </c>
      <c r="I42" s="153">
        <f t="shared" si="0"/>
        <v>390</v>
      </c>
    </row>
    <row r="43" spans="1:9" outlineLevel="1" x14ac:dyDescent="0.35">
      <c r="A43" s="148" t="s">
        <v>530</v>
      </c>
      <c r="B43" s="154" t="s">
        <v>514</v>
      </c>
      <c r="C43" s="155">
        <v>50</v>
      </c>
      <c r="D43" s="156">
        <v>12.83</v>
      </c>
      <c r="E43" s="151">
        <f>D43-F43</f>
        <v>6.415</v>
      </c>
      <c r="F43" s="151">
        <f>D43/2</f>
        <v>6.415</v>
      </c>
      <c r="G43" s="155" t="s">
        <v>529</v>
      </c>
      <c r="H43" s="155" t="s">
        <v>526</v>
      </c>
      <c r="I43" s="153">
        <f t="shared" si="0"/>
        <v>80</v>
      </c>
    </row>
    <row r="44" spans="1:9" outlineLevel="1" x14ac:dyDescent="0.35">
      <c r="A44" s="148" t="s">
        <v>530</v>
      </c>
      <c r="B44" s="154" t="s">
        <v>488</v>
      </c>
      <c r="C44" s="155">
        <v>50</v>
      </c>
      <c r="D44" s="156">
        <v>63.47</v>
      </c>
      <c r="E44" s="151">
        <f>D44-F44</f>
        <v>31.734999999999999</v>
      </c>
      <c r="F44" s="151">
        <f>D44/2</f>
        <v>31.734999999999999</v>
      </c>
      <c r="G44" s="155" t="s">
        <v>529</v>
      </c>
      <c r="H44" s="155" t="s">
        <v>526</v>
      </c>
      <c r="I44" s="153">
        <f t="shared" si="0"/>
        <v>390</v>
      </c>
    </row>
    <row r="45" spans="1:9" x14ac:dyDescent="0.35">
      <c r="A45" s="213" t="s">
        <v>531</v>
      </c>
      <c r="B45" s="214"/>
      <c r="C45" s="214"/>
      <c r="D45" s="214"/>
      <c r="E45" s="214"/>
      <c r="F45" s="214"/>
      <c r="G45" s="214"/>
      <c r="H45" s="215"/>
      <c r="I45" s="153">
        <f>SUBTOTAL(9,I41:I44)</f>
        <v>5470</v>
      </c>
    </row>
    <row r="46" spans="1:9" outlineLevel="1" x14ac:dyDescent="0.35">
      <c r="A46" s="148" t="s">
        <v>532</v>
      </c>
      <c r="B46" s="154" t="s">
        <v>485</v>
      </c>
      <c r="C46" s="155">
        <v>50</v>
      </c>
      <c r="D46" s="156">
        <v>38.42</v>
      </c>
      <c r="E46" s="151">
        <f>D46-F46</f>
        <v>19.21</v>
      </c>
      <c r="F46" s="151">
        <f>D46/2</f>
        <v>19.21</v>
      </c>
      <c r="G46" s="155" t="s">
        <v>533</v>
      </c>
      <c r="H46" s="155" t="s">
        <v>534</v>
      </c>
      <c r="I46" s="153">
        <f t="shared" si="0"/>
        <v>240</v>
      </c>
    </row>
    <row r="47" spans="1:9" outlineLevel="1" x14ac:dyDescent="0.35">
      <c r="A47" s="148" t="s">
        <v>532</v>
      </c>
      <c r="B47" s="154" t="s">
        <v>485</v>
      </c>
      <c r="C47" s="155">
        <v>50</v>
      </c>
      <c r="D47" s="156">
        <v>38.42</v>
      </c>
      <c r="E47" s="151">
        <f>D47-F47</f>
        <v>19.21</v>
      </c>
      <c r="F47" s="151">
        <f>D47/2</f>
        <v>19.21</v>
      </c>
      <c r="G47" s="155" t="s">
        <v>533</v>
      </c>
      <c r="H47" s="155" t="s">
        <v>534</v>
      </c>
      <c r="I47" s="153">
        <f t="shared" si="0"/>
        <v>240</v>
      </c>
    </row>
    <row r="48" spans="1:9" outlineLevel="1" x14ac:dyDescent="0.35">
      <c r="A48" s="148" t="s">
        <v>532</v>
      </c>
      <c r="B48" s="154" t="s">
        <v>535</v>
      </c>
      <c r="C48" s="155">
        <v>75</v>
      </c>
      <c r="D48" s="156">
        <v>12.83</v>
      </c>
      <c r="E48" s="151">
        <f>D48-F48</f>
        <v>3.2074999999999996</v>
      </c>
      <c r="F48" s="151">
        <f>D48*0.75</f>
        <v>9.6225000000000005</v>
      </c>
      <c r="G48" s="155" t="s">
        <v>533</v>
      </c>
      <c r="H48" s="155" t="s">
        <v>534</v>
      </c>
      <c r="I48" s="153">
        <f t="shared" si="0"/>
        <v>40</v>
      </c>
    </row>
    <row r="49" spans="1:9" outlineLevel="1" x14ac:dyDescent="0.35">
      <c r="A49" s="148" t="s">
        <v>532</v>
      </c>
      <c r="B49" s="154" t="s">
        <v>485</v>
      </c>
      <c r="C49" s="155">
        <v>50</v>
      </c>
      <c r="D49" s="156">
        <v>38.42</v>
      </c>
      <c r="E49" s="151">
        <f>D49-F49</f>
        <v>19.21</v>
      </c>
      <c r="F49" s="151">
        <f>D49/2</f>
        <v>19.21</v>
      </c>
      <c r="G49" s="155" t="s">
        <v>533</v>
      </c>
      <c r="H49" s="155" t="s">
        <v>534</v>
      </c>
      <c r="I49" s="153">
        <f t="shared" si="0"/>
        <v>240</v>
      </c>
    </row>
    <row r="50" spans="1:9" outlineLevel="1" x14ac:dyDescent="0.35">
      <c r="A50" s="148" t="s">
        <v>532</v>
      </c>
      <c r="B50" s="154" t="s">
        <v>485</v>
      </c>
      <c r="C50" s="155">
        <v>50</v>
      </c>
      <c r="D50" s="156">
        <v>38.42</v>
      </c>
      <c r="E50" s="151">
        <f>D50-F50</f>
        <v>19.21</v>
      </c>
      <c r="F50" s="151">
        <f>D50/2</f>
        <v>19.21</v>
      </c>
      <c r="G50" s="155" t="s">
        <v>533</v>
      </c>
      <c r="H50" s="155" t="s">
        <v>534</v>
      </c>
      <c r="I50" s="153">
        <f t="shared" si="0"/>
        <v>240</v>
      </c>
    </row>
    <row r="51" spans="1:9" x14ac:dyDescent="0.35">
      <c r="A51" s="213" t="s">
        <v>536</v>
      </c>
      <c r="B51" s="214"/>
      <c r="C51" s="214"/>
      <c r="D51" s="214"/>
      <c r="E51" s="214"/>
      <c r="F51" s="214"/>
      <c r="G51" s="214"/>
      <c r="H51" s="215"/>
      <c r="I51" s="153">
        <f>SUBTOTAL(9,I46:I50)</f>
        <v>1000</v>
      </c>
    </row>
    <row r="52" spans="1:9" outlineLevel="1" x14ac:dyDescent="0.35">
      <c r="A52" s="148" t="s">
        <v>480</v>
      </c>
      <c r="B52" s="148" t="s">
        <v>512</v>
      </c>
      <c r="C52" s="149">
        <v>50</v>
      </c>
      <c r="D52" s="150">
        <v>651.71</v>
      </c>
      <c r="E52" s="151">
        <f>D52-F52</f>
        <v>325.85500000000002</v>
      </c>
      <c r="F52" s="151">
        <f>D52/2</f>
        <v>325.85500000000002</v>
      </c>
      <c r="G52" s="152" t="s">
        <v>537</v>
      </c>
      <c r="H52" s="152" t="s">
        <v>506</v>
      </c>
      <c r="I52" s="153">
        <f t="shared" si="0"/>
        <v>3920</v>
      </c>
    </row>
    <row r="53" spans="1:9" outlineLevel="1" x14ac:dyDescent="0.35">
      <c r="A53" s="148" t="s">
        <v>538</v>
      </c>
      <c r="B53" s="154" t="s">
        <v>485</v>
      </c>
      <c r="C53" s="155">
        <v>50</v>
      </c>
      <c r="D53" s="156">
        <v>38.42</v>
      </c>
      <c r="E53" s="151">
        <f>D53-F53</f>
        <v>19.21</v>
      </c>
      <c r="F53" s="151">
        <f>D53/2</f>
        <v>19.21</v>
      </c>
      <c r="G53" s="155" t="s">
        <v>537</v>
      </c>
      <c r="H53" s="155" t="s">
        <v>534</v>
      </c>
      <c r="I53" s="153">
        <f t="shared" si="0"/>
        <v>240</v>
      </c>
    </row>
    <row r="54" spans="1:9" x14ac:dyDescent="0.35">
      <c r="A54" s="213" t="s">
        <v>539</v>
      </c>
      <c r="B54" s="214"/>
      <c r="C54" s="214"/>
      <c r="D54" s="214"/>
      <c r="E54" s="214"/>
      <c r="F54" s="214"/>
      <c r="G54" s="214"/>
      <c r="H54" s="215"/>
      <c r="I54" s="153">
        <f>SUBTOTAL(9,I52:I53)</f>
        <v>4160</v>
      </c>
    </row>
    <row r="55" spans="1:9" outlineLevel="1" x14ac:dyDescent="0.35">
      <c r="A55" s="148" t="s">
        <v>540</v>
      </c>
      <c r="B55" s="154" t="s">
        <v>485</v>
      </c>
      <c r="C55" s="155">
        <v>50</v>
      </c>
      <c r="D55" s="156">
        <v>38.42</v>
      </c>
      <c r="E55" s="151">
        <f>D55-F55</f>
        <v>19.21</v>
      </c>
      <c r="F55" s="151">
        <f>D55/2</f>
        <v>19.21</v>
      </c>
      <c r="G55" s="155" t="s">
        <v>541</v>
      </c>
      <c r="H55" s="155" t="s">
        <v>534</v>
      </c>
      <c r="I55" s="153">
        <f t="shared" si="0"/>
        <v>240</v>
      </c>
    </row>
    <row r="56" spans="1:9" x14ac:dyDescent="0.35">
      <c r="A56" s="213" t="s">
        <v>542</v>
      </c>
      <c r="B56" s="214"/>
      <c r="C56" s="214"/>
      <c r="D56" s="214"/>
      <c r="E56" s="214"/>
      <c r="F56" s="214"/>
      <c r="G56" s="214"/>
      <c r="H56" s="215"/>
      <c r="I56" s="153">
        <f>SUBTOTAL(9,I55)</f>
        <v>240</v>
      </c>
    </row>
    <row r="57" spans="1:9" outlineLevel="1" x14ac:dyDescent="0.35">
      <c r="A57" s="148" t="s">
        <v>500</v>
      </c>
      <c r="B57" s="154" t="s">
        <v>485</v>
      </c>
      <c r="C57" s="155">
        <v>70</v>
      </c>
      <c r="D57" s="156">
        <v>38.42</v>
      </c>
      <c r="E57" s="151">
        <f>D57-F57</f>
        <v>11.526000000000003</v>
      </c>
      <c r="F57" s="151">
        <f>D57*0.7</f>
        <v>26.893999999999998</v>
      </c>
      <c r="G57" s="155" t="s">
        <v>543</v>
      </c>
      <c r="H57" s="155" t="s">
        <v>544</v>
      </c>
      <c r="I57" s="153">
        <f t="shared" si="0"/>
        <v>140</v>
      </c>
    </row>
    <row r="58" spans="1:9" x14ac:dyDescent="0.35">
      <c r="A58" s="213" t="s">
        <v>545</v>
      </c>
      <c r="B58" s="214"/>
      <c r="C58" s="214"/>
      <c r="D58" s="214"/>
      <c r="E58" s="214"/>
      <c r="F58" s="214"/>
      <c r="G58" s="214"/>
      <c r="H58" s="215"/>
      <c r="I58" s="153">
        <f>SUBTOTAL(9,I57)</f>
        <v>140</v>
      </c>
    </row>
    <row r="59" spans="1:9" outlineLevel="1" x14ac:dyDescent="0.35">
      <c r="A59" s="148" t="s">
        <v>546</v>
      </c>
      <c r="B59" s="154" t="s">
        <v>485</v>
      </c>
      <c r="C59" s="155">
        <v>50</v>
      </c>
      <c r="D59" s="156">
        <v>38.42</v>
      </c>
      <c r="E59" s="151">
        <f>D59-F59</f>
        <v>19.21</v>
      </c>
      <c r="F59" s="151">
        <f>D59/2</f>
        <v>19.21</v>
      </c>
      <c r="G59" s="155" t="s">
        <v>547</v>
      </c>
      <c r="H59" s="155" t="s">
        <v>534</v>
      </c>
      <c r="I59" s="153">
        <f t="shared" si="0"/>
        <v>240</v>
      </c>
    </row>
    <row r="60" spans="1:9" x14ac:dyDescent="0.35">
      <c r="A60" s="216" t="s">
        <v>548</v>
      </c>
      <c r="B60" s="216"/>
      <c r="C60" s="216"/>
      <c r="D60" s="216"/>
      <c r="E60" s="216"/>
      <c r="F60" s="216"/>
      <c r="G60" s="216"/>
      <c r="H60" s="216"/>
      <c r="I60" s="153">
        <f>SUBTOTAL(9,I59)</f>
        <v>240</v>
      </c>
    </row>
  </sheetData>
  <mergeCells count="15">
    <mergeCell ref="A56:H56"/>
    <mergeCell ref="A58:H58"/>
    <mergeCell ref="A60:H60"/>
    <mergeCell ref="A20:H20"/>
    <mergeCell ref="A38:H38"/>
    <mergeCell ref="A40:H40"/>
    <mergeCell ref="A45:H45"/>
    <mergeCell ref="A51:H51"/>
    <mergeCell ref="A54:H54"/>
    <mergeCell ref="A14:H14"/>
    <mergeCell ref="A4:H4"/>
    <mergeCell ref="A6:H6"/>
    <mergeCell ref="A8:H8"/>
    <mergeCell ref="A10:H10"/>
    <mergeCell ref="A12:H12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F870-A704-4FF8-8DD7-D8F6B1175373}">
  <sheetPr>
    <tabColor rgb="FFCC66FF"/>
  </sheetPr>
  <dimension ref="A1:AF54"/>
  <sheetViews>
    <sheetView view="pageBreakPreview" zoomScaleNormal="100" zoomScaleSheetLayoutView="100" workbookViewId="0">
      <pane xSplit="2" ySplit="2" topLeftCell="C3" activePane="bottomRight" state="frozen"/>
      <selection activeCell="G46" sqref="G46"/>
      <selection pane="topRight" activeCell="G46" sqref="G46"/>
      <selection pane="bottomLeft" activeCell="G46" sqref="G46"/>
      <selection pane="bottomRight" activeCell="L36" sqref="L36"/>
    </sheetView>
  </sheetViews>
  <sheetFormatPr defaultColWidth="9.1796875" defaultRowHeight="14.5" x14ac:dyDescent="0.35"/>
  <cols>
    <col min="1" max="1" width="33.81640625" style="9" bestFit="1" customWidth="1"/>
    <col min="2" max="2" width="6.7265625" style="128" bestFit="1" customWidth="1"/>
    <col min="3" max="3" width="12.54296875" style="63" customWidth="1"/>
    <col min="4" max="4" width="9.1796875" style="63" customWidth="1"/>
    <col min="5" max="5" width="10" style="63" customWidth="1"/>
    <col min="6" max="9" width="9.1796875" style="63" customWidth="1"/>
    <col min="10" max="10" width="10" style="63" customWidth="1"/>
    <col min="11" max="11" width="9.1796875" style="63" customWidth="1"/>
    <col min="12" max="12" width="10" style="63" customWidth="1"/>
    <col min="13" max="14" width="8.26953125" style="63" customWidth="1"/>
    <col min="15" max="15" width="9.453125" style="63" customWidth="1"/>
    <col min="16" max="16" width="8.54296875" style="63" customWidth="1"/>
    <col min="17" max="18" width="10" style="63" customWidth="1"/>
    <col min="19" max="19" width="10.7265625" style="63" customWidth="1"/>
    <col min="20" max="20" width="9" style="63" customWidth="1"/>
    <col min="21" max="21" width="10" style="63" customWidth="1"/>
    <col min="22" max="22" width="11.54296875" style="63" customWidth="1"/>
    <col min="23" max="23" width="10" style="63" bestFit="1" customWidth="1"/>
    <col min="24" max="24" width="10.7265625" style="63" bestFit="1" customWidth="1"/>
    <col min="25" max="25" width="11.54296875" style="63" bestFit="1" customWidth="1"/>
    <col min="26" max="26" width="10" style="63" bestFit="1" customWidth="1"/>
    <col min="27" max="27" width="9" style="63" customWidth="1"/>
    <col min="28" max="28" width="10" style="63" customWidth="1"/>
    <col min="29" max="29" width="9" style="63" customWidth="1"/>
    <col min="30" max="30" width="10" style="63" customWidth="1"/>
    <col min="31" max="31" width="10.81640625" style="63" bestFit="1" customWidth="1"/>
    <col min="32" max="32" width="12.54296875" style="9" bestFit="1" customWidth="1"/>
    <col min="33" max="16384" width="9.1796875" style="9"/>
  </cols>
  <sheetData>
    <row r="1" spans="1:32" s="4" customFormat="1" x14ac:dyDescent="0.35">
      <c r="B1" s="122"/>
      <c r="C1" s="4">
        <v>8001</v>
      </c>
      <c r="D1" s="123" t="s">
        <v>393</v>
      </c>
      <c r="E1" s="123" t="s">
        <v>394</v>
      </c>
      <c r="F1" s="123" t="s">
        <v>395</v>
      </c>
      <c r="G1" s="123" t="s">
        <v>396</v>
      </c>
      <c r="H1" s="123" t="s">
        <v>397</v>
      </c>
      <c r="I1" s="123" t="s">
        <v>398</v>
      </c>
      <c r="J1" s="123" t="s">
        <v>399</v>
      </c>
      <c r="K1" s="123" t="s">
        <v>400</v>
      </c>
      <c r="L1" s="124" t="s">
        <v>401</v>
      </c>
      <c r="M1" s="124" t="s">
        <v>401</v>
      </c>
      <c r="N1" s="124" t="s">
        <v>401</v>
      </c>
      <c r="O1" s="124" t="s">
        <v>401</v>
      </c>
      <c r="P1" s="124" t="s">
        <v>401</v>
      </c>
      <c r="Q1" s="4" t="s">
        <v>401</v>
      </c>
      <c r="R1" s="4">
        <v>8003</v>
      </c>
      <c r="S1" s="125">
        <v>8004</v>
      </c>
      <c r="T1" s="4" t="s">
        <v>456</v>
      </c>
      <c r="U1" s="4" t="s">
        <v>402</v>
      </c>
      <c r="V1" s="4" t="s">
        <v>403</v>
      </c>
      <c r="W1" s="4" t="s">
        <v>404</v>
      </c>
      <c r="X1" s="4" t="s">
        <v>405</v>
      </c>
      <c r="Y1" s="4" t="s">
        <v>406</v>
      </c>
      <c r="Z1" s="4">
        <v>8008</v>
      </c>
      <c r="AA1" s="4">
        <v>8009</v>
      </c>
      <c r="AB1" s="4">
        <v>8010</v>
      </c>
      <c r="AC1" s="4">
        <v>8015</v>
      </c>
      <c r="AD1" s="4">
        <v>8030</v>
      </c>
      <c r="AE1" s="4">
        <v>8035</v>
      </c>
    </row>
    <row r="2" spans="1:32" s="100" customFormat="1" ht="58" customHeight="1" x14ac:dyDescent="0.35">
      <c r="A2" s="126" t="s">
        <v>457</v>
      </c>
      <c r="B2" s="127" t="s">
        <v>0</v>
      </c>
      <c r="C2" s="100" t="s">
        <v>362</v>
      </c>
      <c r="D2" s="101" t="s">
        <v>318</v>
      </c>
      <c r="E2" s="101" t="s">
        <v>364</v>
      </c>
      <c r="F2" s="101" t="s">
        <v>367</v>
      </c>
      <c r="G2" s="101" t="s">
        <v>368</v>
      </c>
      <c r="H2" s="101" t="s">
        <v>319</v>
      </c>
      <c r="I2" s="101" t="s">
        <v>320</v>
      </c>
      <c r="J2" s="101" t="s">
        <v>369</v>
      </c>
      <c r="K2" s="101" t="s">
        <v>370</v>
      </c>
      <c r="L2" s="100" t="s">
        <v>371</v>
      </c>
      <c r="M2" s="100" t="s">
        <v>458</v>
      </c>
      <c r="N2" s="100" t="s">
        <v>459</v>
      </c>
      <c r="O2" s="100" t="s">
        <v>374</v>
      </c>
      <c r="P2" s="100" t="s">
        <v>375</v>
      </c>
      <c r="Q2" s="100" t="s">
        <v>376</v>
      </c>
      <c r="R2" s="100" t="s">
        <v>377</v>
      </c>
      <c r="S2" s="101" t="s">
        <v>378</v>
      </c>
      <c r="T2" s="100" t="s">
        <v>379</v>
      </c>
      <c r="U2" s="100" t="s">
        <v>380</v>
      </c>
      <c r="V2" s="100" t="s">
        <v>381</v>
      </c>
      <c r="W2" s="100" t="s">
        <v>383</v>
      </c>
      <c r="X2" s="100" t="s">
        <v>343</v>
      </c>
      <c r="Y2" s="100" t="s">
        <v>384</v>
      </c>
      <c r="Z2" s="100" t="s">
        <v>385</v>
      </c>
      <c r="AA2" s="100" t="s">
        <v>386</v>
      </c>
      <c r="AB2" s="100" t="s">
        <v>392</v>
      </c>
      <c r="AC2" s="100" t="s">
        <v>387</v>
      </c>
      <c r="AD2" s="100" t="s">
        <v>388</v>
      </c>
      <c r="AE2" s="100" t="s">
        <v>460</v>
      </c>
      <c r="AF2" s="100" t="s">
        <v>390</v>
      </c>
    </row>
    <row r="3" spans="1:32" x14ac:dyDescent="0.35">
      <c r="A3" s="9" t="s">
        <v>423</v>
      </c>
      <c r="B3" s="128">
        <f>'Position Control'!G8</f>
        <v>3</v>
      </c>
      <c r="C3" s="63">
        <f>ROUNDUP('Position Control'!AO8,-1)</f>
        <v>316350</v>
      </c>
      <c r="D3" s="63">
        <f>ROUNDUP('Position Control'!AP8,-1)</f>
        <v>0</v>
      </c>
      <c r="E3" s="63">
        <f>ROUNDUP('Position Control'!AQ8,-1)</f>
        <v>0</v>
      </c>
      <c r="F3" s="63">
        <f>ROUNDUP('Position Control'!AR8,-1)</f>
        <v>0</v>
      </c>
      <c r="G3" s="63">
        <f>ROUNDUP('Position Control'!AS8,-1)</f>
        <v>0</v>
      </c>
      <c r="H3" s="63">
        <f>ROUNDUP('Position Control'!AT8,-1)</f>
        <v>0</v>
      </c>
      <c r="I3" s="63">
        <f>ROUNDUP('Position Control'!AU8,-1)</f>
        <v>1800</v>
      </c>
      <c r="J3" s="63">
        <f>ROUNDUP('Position Control'!AV8,-1)</f>
        <v>0</v>
      </c>
      <c r="K3" s="63">
        <f>ROUNDUP('Position Control'!AW8,-1)</f>
        <v>0</v>
      </c>
      <c r="L3" s="63">
        <f>ROUNDUP('Position Control'!AX8,-1)</f>
        <v>0</v>
      </c>
      <c r="M3" s="63">
        <f>ROUNDUP('Position Control'!AY8,-1)</f>
        <v>0</v>
      </c>
      <c r="N3" s="63">
        <f>ROUNDUP('Position Control'!AZ8,-1)</f>
        <v>0</v>
      </c>
      <c r="O3" s="63">
        <f>ROUNDUP('Position Control'!BA8,-1)</f>
        <v>0</v>
      </c>
      <c r="P3" s="63">
        <f>ROUNDUP('Position Control'!BB8,-1)</f>
        <v>0</v>
      </c>
      <c r="Q3" s="63">
        <f>ROUNDUP('Position Control'!BC8,-1)</f>
        <v>0</v>
      </c>
      <c r="R3" s="63">
        <f>ROUNDUP('Position Control'!BD8,-1)</f>
        <v>680</v>
      </c>
      <c r="S3" s="63">
        <f>ROUNDUP('Position Control'!BE8,-1)</f>
        <v>500</v>
      </c>
      <c r="T3" s="63">
        <f>ROUNDUP('Position Control'!BF8,-1)</f>
        <v>520</v>
      </c>
      <c r="U3" s="63">
        <f>ROUNDUP('Position Control'!BG8,-1)</f>
        <v>780</v>
      </c>
      <c r="V3" s="63">
        <f>ROUNDUP('Position Control'!BH8,-1)</f>
        <v>12290</v>
      </c>
      <c r="W3" s="63">
        <f>ROUNDUP('Position Control'!BI8,-1)</f>
        <v>2000</v>
      </c>
      <c r="X3" s="63">
        <f>ROUNDUP('Position Control'!BJ8,-1)</f>
        <v>720</v>
      </c>
      <c r="Y3" s="63">
        <f>ROUNDUP('Position Control'!BK8,-1)</f>
        <v>53730</v>
      </c>
      <c r="Z3" s="63">
        <f>ROUNDUP('Position Control'!BL8,-1)</f>
        <v>330</v>
      </c>
      <c r="AA3" s="63">
        <f>ROUNDUP('Position Control'!BM8,-1)</f>
        <v>440</v>
      </c>
      <c r="AB3" s="63">
        <f>ROUNDUP('Position Control'!BN8,-1)</f>
        <v>4620</v>
      </c>
      <c r="AC3" s="63">
        <f>ROUNDUP('Position Control'!BO8,-1)</f>
        <v>580</v>
      </c>
      <c r="AD3" s="63">
        <f>ROUNDUP('Position Control'!BP8,-1)</f>
        <v>1000</v>
      </c>
      <c r="AE3" s="63">
        <f>ROUNDUP('Position Control'!BQ8,-1)</f>
        <v>4850</v>
      </c>
      <c r="AF3" s="63">
        <f t="shared" ref="AF3:AF18" si="0">SUM(C3:P3)+SUM(R3:AE3)</f>
        <v>401190</v>
      </c>
    </row>
    <row r="4" spans="1:32" x14ac:dyDescent="0.35">
      <c r="A4" s="9" t="s">
        <v>424</v>
      </c>
      <c r="B4" s="128">
        <f>'Position Control'!G12</f>
        <v>2</v>
      </c>
      <c r="C4" s="63">
        <f>ROUNDUP('Position Control'!AO12,-1)</f>
        <v>182310</v>
      </c>
      <c r="D4" s="63">
        <f>ROUNDUP('Position Control'!AP12,-1)</f>
        <v>0</v>
      </c>
      <c r="E4" s="63">
        <f>ROUNDUP('Position Control'!AQ12,-1)-10</f>
        <v>600</v>
      </c>
      <c r="F4" s="63">
        <f>ROUNDUP('Position Control'!AR12,-1)</f>
        <v>0</v>
      </c>
      <c r="G4" s="63">
        <f>ROUNDUP('Position Control'!AS12,-1)</f>
        <v>0</v>
      </c>
      <c r="H4" s="63">
        <f>ROUNDUP('Position Control'!AT12,-1)</f>
        <v>0</v>
      </c>
      <c r="I4" s="63">
        <f>ROUNDUP('Position Control'!AU12,-1)</f>
        <v>600</v>
      </c>
      <c r="J4" s="63">
        <f>ROUNDUP('Position Control'!AV12,-1)</f>
        <v>0</v>
      </c>
      <c r="K4" s="63">
        <f>ROUNDUP('Position Control'!AW12,-1)</f>
        <v>0</v>
      </c>
      <c r="L4" s="63">
        <f>ROUNDUP('Position Control'!AX12,-1)</f>
        <v>0</v>
      </c>
      <c r="M4" s="63">
        <f>ROUNDUP('Position Control'!AY12,-1)</f>
        <v>0</v>
      </c>
      <c r="N4" s="63">
        <f>ROUNDUP('Position Control'!AZ12,-1)</f>
        <v>0</v>
      </c>
      <c r="O4" s="63">
        <f>ROUNDUP('Position Control'!BA12,-1)</f>
        <v>0</v>
      </c>
      <c r="P4" s="63">
        <f>ROUNDUP('Position Control'!BB12,-1)</f>
        <v>0</v>
      </c>
      <c r="Q4" s="63">
        <f>ROUNDUP('Position Control'!BC12,-1)</f>
        <v>0</v>
      </c>
      <c r="R4" s="63">
        <f>ROUNDUP('Position Control'!BD12,-1)</f>
        <v>1580</v>
      </c>
      <c r="S4" s="63">
        <f>ROUNDUP('Position Control'!BE12,-1)</f>
        <v>2500</v>
      </c>
      <c r="T4" s="63">
        <f>ROUNDUP('Position Control'!BF12,-1)</f>
        <v>330</v>
      </c>
      <c r="U4" s="63">
        <f>ROUNDUP('Position Control'!BG12,-1)</f>
        <v>780</v>
      </c>
      <c r="V4" s="63">
        <f>ROUNDUP('Position Control'!BH12,-1)</f>
        <v>12290</v>
      </c>
      <c r="W4" s="63">
        <f>ROUNDUP('Position Control'!BI12,-1)</f>
        <v>2000</v>
      </c>
      <c r="X4" s="63">
        <f>ROUNDUP('Position Control'!BJ12,-1)</f>
        <v>480</v>
      </c>
      <c r="Y4" s="63">
        <f>ROUNDUP('Position Control'!BK12,-1)</f>
        <v>31370</v>
      </c>
      <c r="Z4" s="63">
        <f>ROUNDUP('Position Control'!BL12,-1)</f>
        <v>190</v>
      </c>
      <c r="AA4" s="63">
        <f>ROUNDUP('Position Control'!BM12,-1)</f>
        <v>290</v>
      </c>
      <c r="AB4" s="63">
        <f>ROUNDUP('Position Control'!BN12,-1)</f>
        <v>2670</v>
      </c>
      <c r="AC4" s="63">
        <f>ROUNDUP('Position Control'!BO12,-1)</f>
        <v>340</v>
      </c>
      <c r="AD4" s="63">
        <f>ROUNDUP('Position Control'!BP12,-1)</f>
        <v>1500</v>
      </c>
      <c r="AE4" s="63">
        <f>ROUNDUP('Position Control'!BQ12,-1)</f>
        <v>0</v>
      </c>
      <c r="AF4" s="63">
        <f t="shared" si="0"/>
        <v>239830</v>
      </c>
    </row>
    <row r="5" spans="1:32" x14ac:dyDescent="0.35">
      <c r="A5" s="9" t="s">
        <v>427</v>
      </c>
      <c r="B5" s="128">
        <f>'Position Control'!G18</f>
        <v>4</v>
      </c>
      <c r="C5" s="63">
        <f>ROUNDUP('Position Control'!AO18,-1)</f>
        <v>336010</v>
      </c>
      <c r="D5" s="63">
        <f>ROUNDUP('Position Control'!AP18,-1)</f>
        <v>0</v>
      </c>
      <c r="E5" s="63">
        <f>ROUNDUP('Position Control'!AQ18,-1)-10</f>
        <v>3900</v>
      </c>
      <c r="F5" s="63">
        <f>ROUNDUP('Position Control'!AR18,-1)</f>
        <v>0</v>
      </c>
      <c r="G5" s="63">
        <f>ROUNDUP('Position Control'!AS18,-1)</f>
        <v>0</v>
      </c>
      <c r="H5" s="63">
        <f>ROUNDUP('Position Control'!AT18,-1)</f>
        <v>0</v>
      </c>
      <c r="I5" s="63">
        <f>ROUNDUP('Position Control'!AU18,-1)</f>
        <v>600</v>
      </c>
      <c r="J5" s="63">
        <f>ROUNDUP('Position Control'!AV18,-1)</f>
        <v>0</v>
      </c>
      <c r="K5" s="63">
        <f>ROUNDUP('Position Control'!AW18,-1)</f>
        <v>0</v>
      </c>
      <c r="L5" s="63">
        <f>ROUNDUP('Position Control'!AX18,-1)</f>
        <v>0</v>
      </c>
      <c r="M5" s="63">
        <f>ROUNDUP('Position Control'!AY18,-1)</f>
        <v>0</v>
      </c>
      <c r="N5" s="63">
        <f>ROUNDUP('Position Control'!AZ18,-1)</f>
        <v>0</v>
      </c>
      <c r="O5" s="63">
        <f>ROUNDUP('Position Control'!BA18,-1)</f>
        <v>0</v>
      </c>
      <c r="P5" s="63">
        <f>ROUNDUP('Position Control'!BB18,-1)</f>
        <v>0</v>
      </c>
      <c r="Q5" s="63">
        <f>ROUNDUP('Position Control'!BC18,-1)</f>
        <v>0</v>
      </c>
      <c r="R5" s="63">
        <f>ROUNDUP('Position Control'!BD18,-1)</f>
        <v>1320</v>
      </c>
      <c r="S5" s="63">
        <f>ROUNDUP('Position Control'!BE18,-1)</f>
        <v>1800</v>
      </c>
      <c r="T5" s="63">
        <f>ROUNDUP('Position Control'!BF18,-1)</f>
        <v>660</v>
      </c>
      <c r="U5" s="63">
        <f>ROUNDUP('Position Control'!BG18,-1)</f>
        <v>1200</v>
      </c>
      <c r="V5" s="63">
        <f>ROUNDUP('Position Control'!BH18,-1)</f>
        <v>28760</v>
      </c>
      <c r="W5" s="63">
        <f>ROUNDUP('Position Control'!BI18,-1)</f>
        <v>4500</v>
      </c>
      <c r="X5" s="63">
        <f>ROUNDUP('Position Control'!BJ18,-1)</f>
        <v>1040</v>
      </c>
      <c r="Y5" s="63">
        <f>ROUNDUP('Position Control'!BK18,-1)</f>
        <v>57720</v>
      </c>
      <c r="Z5" s="63">
        <f>ROUNDUP('Position Control'!BL18,-1)</f>
        <v>350</v>
      </c>
      <c r="AA5" s="63">
        <f>ROUNDUP('Position Control'!BM18,-1)</f>
        <v>580</v>
      </c>
      <c r="AB5" s="63">
        <f>ROUNDUP('Position Control'!BN18,-1)</f>
        <v>4940</v>
      </c>
      <c r="AC5" s="63">
        <f>ROUNDUP('Position Control'!BO18,-1)</f>
        <v>620</v>
      </c>
      <c r="AD5" s="63">
        <f>ROUNDUP('Position Control'!BP18,-1)</f>
        <v>0</v>
      </c>
      <c r="AE5" s="63">
        <f>ROUNDUP('Position Control'!BQ18,-1)</f>
        <v>390</v>
      </c>
      <c r="AF5" s="63">
        <f t="shared" si="0"/>
        <v>444390</v>
      </c>
    </row>
    <row r="6" spans="1:32" x14ac:dyDescent="0.35">
      <c r="A6" s="9" t="s">
        <v>428</v>
      </c>
      <c r="B6" s="128">
        <f>'Position Control'!G26</f>
        <v>6</v>
      </c>
      <c r="C6" s="63">
        <f>ROUNDUP('Position Control'!AO26,-1)</f>
        <v>266170</v>
      </c>
      <c r="D6" s="63">
        <f>ROUNDUP('Position Control'!AP26,-1)</f>
        <v>0</v>
      </c>
      <c r="E6" s="63">
        <f>ROUNDUP('Position Control'!AQ26,-1)-10</f>
        <v>3600</v>
      </c>
      <c r="F6" s="63">
        <f>ROUNDUP('Position Control'!AR26,-1)</f>
        <v>0</v>
      </c>
      <c r="G6" s="63">
        <f>ROUNDUP('Position Control'!AS26,-1)</f>
        <v>0</v>
      </c>
      <c r="H6" s="63">
        <f>ROUNDUP('Position Control'!AT26,-1)</f>
        <v>0</v>
      </c>
      <c r="I6" s="63">
        <f>ROUNDUP('Position Control'!AU26,-1)</f>
        <v>0</v>
      </c>
      <c r="J6" s="63">
        <f>ROUNDUP('Position Control'!AV26,-1)</f>
        <v>0</v>
      </c>
      <c r="K6" s="63">
        <f>ROUNDUP('Position Control'!AW26,-1)</f>
        <v>0</v>
      </c>
      <c r="L6" s="63">
        <f>ROUNDUP('Position Control'!AX26,-1)</f>
        <v>0</v>
      </c>
      <c r="M6" s="63">
        <f>ROUNDUP('Position Control'!AY26,-1)</f>
        <v>0</v>
      </c>
      <c r="N6" s="63">
        <f>ROUNDUP('Position Control'!AZ26,-1)</f>
        <v>0</v>
      </c>
      <c r="O6" s="63">
        <f>ROUNDUP('Position Control'!BA26,-1)</f>
        <v>0</v>
      </c>
      <c r="P6" s="63">
        <f>ROUNDUP('Position Control'!BB26,-1)</f>
        <v>0</v>
      </c>
      <c r="Q6" s="63">
        <f>ROUNDUP('Position Control'!BC26,-1)</f>
        <v>0</v>
      </c>
      <c r="R6" s="63">
        <f>ROUNDUP('Position Control'!BD26,-1)</f>
        <v>1800</v>
      </c>
      <c r="S6" s="63">
        <f>ROUNDUP('Position Control'!BE26,-1)</f>
        <v>4000</v>
      </c>
      <c r="T6" s="63">
        <f>ROUNDUP('Position Control'!BF26,-1)</f>
        <v>650</v>
      </c>
      <c r="U6" s="63">
        <f>ROUNDUP('Position Control'!BG26,-1)</f>
        <v>1850</v>
      </c>
      <c r="V6" s="63">
        <f>ROUNDUP('Position Control'!BH26,-1)</f>
        <v>43330</v>
      </c>
      <c r="W6" s="63">
        <f>ROUNDUP('Position Control'!BI26,-1)</f>
        <v>3500</v>
      </c>
      <c r="X6" s="63">
        <f>ROUNDUP('Position Control'!BJ26,-1)</f>
        <v>800</v>
      </c>
      <c r="Y6" s="63">
        <f>ROUNDUP('Position Control'!BK26,-1)</f>
        <v>46170</v>
      </c>
      <c r="Z6" s="63">
        <f>ROUNDUP('Position Control'!BL26,-1)</f>
        <v>2740</v>
      </c>
      <c r="AA6" s="63">
        <f>ROUNDUP('Position Control'!BM26,-1)</f>
        <v>870</v>
      </c>
      <c r="AB6" s="63">
        <f>ROUNDUP('Position Control'!BN26,-1)</f>
        <v>3920</v>
      </c>
      <c r="AC6" s="63">
        <f>ROUNDUP('Position Control'!BO26,-1)</f>
        <v>490</v>
      </c>
      <c r="AD6" s="63">
        <f>ROUNDUP('Position Control'!BP26,-1)</f>
        <v>1500</v>
      </c>
      <c r="AE6" s="63">
        <f>ROUNDUP('Position Control'!BQ26,-1)</f>
        <v>200</v>
      </c>
      <c r="AF6" s="63">
        <f t="shared" si="0"/>
        <v>381590</v>
      </c>
    </row>
    <row r="7" spans="1:32" x14ac:dyDescent="0.35">
      <c r="A7" s="9" t="s">
        <v>429</v>
      </c>
      <c r="B7" s="128">
        <f>'Position Control'!G30</f>
        <v>2</v>
      </c>
      <c r="C7" s="63">
        <f>ROUNDUP('Position Control'!AO30,-1)</f>
        <v>241820</v>
      </c>
      <c r="D7" s="63">
        <f>ROUNDUP('Position Control'!AP30,-1)</f>
        <v>7200</v>
      </c>
      <c r="E7" s="63">
        <f>ROUNDUP('Position Control'!AQ30,-1)</f>
        <v>0</v>
      </c>
      <c r="F7" s="63">
        <f>ROUNDUP('Position Control'!AR30,-1)</f>
        <v>0</v>
      </c>
      <c r="G7" s="63">
        <f>ROUNDUP('Position Control'!AS30,-1)</f>
        <v>0</v>
      </c>
      <c r="H7" s="63">
        <f>ROUNDUP('Position Control'!AT30,-1)</f>
        <v>0</v>
      </c>
      <c r="I7" s="63">
        <f>ROUNDUP('Position Control'!AU30,-1)</f>
        <v>600</v>
      </c>
      <c r="J7" s="63">
        <f>ROUNDUP('Position Control'!AV30,-1)</f>
        <v>0</v>
      </c>
      <c r="K7" s="63">
        <f>ROUNDUP('Position Control'!AW30,-1)</f>
        <v>0</v>
      </c>
      <c r="L7" s="63">
        <f>ROUNDUP('Position Control'!AX30,-1)</f>
        <v>0</v>
      </c>
      <c r="M7" s="63">
        <f>ROUNDUP('Position Control'!AY30,-1)</f>
        <v>0</v>
      </c>
      <c r="N7" s="63">
        <f>ROUNDUP('Position Control'!AZ30,-1)</f>
        <v>0</v>
      </c>
      <c r="O7" s="63">
        <f>ROUNDUP('Position Control'!BA30,-1)</f>
        <v>0</v>
      </c>
      <c r="P7" s="63">
        <f>ROUNDUP('Position Control'!BB30,-1)</f>
        <v>0</v>
      </c>
      <c r="Q7" s="63">
        <f>ROUNDUP('Position Control'!BC30,-1)</f>
        <v>0</v>
      </c>
      <c r="R7" s="63">
        <f>ROUNDUP('Position Control'!BD30,-1)</f>
        <v>700</v>
      </c>
      <c r="S7" s="63">
        <f>ROUNDUP('Position Control'!BE30,-1)</f>
        <v>500</v>
      </c>
      <c r="T7" s="63">
        <f>ROUNDUP('Position Control'!BF30,-1)</f>
        <v>330</v>
      </c>
      <c r="U7" s="63">
        <f>ROUNDUP('Position Control'!BG30,-1)</f>
        <v>420</v>
      </c>
      <c r="V7" s="63">
        <f>ROUNDUP('Position Control'!BH30,-1)</f>
        <v>0</v>
      </c>
      <c r="W7" s="63">
        <f>ROUNDUP('Position Control'!BI30,-1)</f>
        <v>0</v>
      </c>
      <c r="X7" s="63">
        <f>ROUNDUP('Position Control'!BJ30,-1)</f>
        <v>240</v>
      </c>
      <c r="Y7" s="63">
        <f>ROUNDUP('Position Control'!BK30,-1)</f>
        <v>42180</v>
      </c>
      <c r="Z7" s="63">
        <f>ROUNDUP('Position Control'!BL30,-1)</f>
        <v>260</v>
      </c>
      <c r="AA7" s="63">
        <f>ROUNDUP('Position Control'!BM30,-1)</f>
        <v>290</v>
      </c>
      <c r="AB7" s="63">
        <f>ROUNDUP('Position Control'!BN30,-1)</f>
        <v>3630</v>
      </c>
      <c r="AC7" s="63">
        <f>ROUNDUP('Position Control'!BO30,-1)</f>
        <v>450</v>
      </c>
      <c r="AD7" s="63">
        <f>ROUNDUP('Position Control'!BP30,-1)</f>
        <v>1000</v>
      </c>
      <c r="AE7" s="63">
        <f>ROUNDUP('Position Control'!BQ30,-1)</f>
        <v>0</v>
      </c>
      <c r="AF7" s="63">
        <f t="shared" si="0"/>
        <v>299620</v>
      </c>
    </row>
    <row r="8" spans="1:32" x14ac:dyDescent="0.35">
      <c r="A8" s="9" t="s">
        <v>432</v>
      </c>
      <c r="B8" s="128">
        <f>'Position Control'!G34</f>
        <v>1.5</v>
      </c>
      <c r="C8" s="63">
        <f>ROUNDUP('Position Control'!AO34,-1)</f>
        <v>114200</v>
      </c>
      <c r="D8" s="63">
        <f>ROUNDUP('Position Control'!AP34,-1)</f>
        <v>0</v>
      </c>
      <c r="E8" s="63">
        <f>ROUNDUP('Position Control'!AQ34,-1)</f>
        <v>0</v>
      </c>
      <c r="F8" s="63">
        <f>ROUNDUP('Position Control'!AR34,-1)</f>
        <v>0</v>
      </c>
      <c r="G8" s="63">
        <f>ROUNDUP('Position Control'!AS34,-1)</f>
        <v>0</v>
      </c>
      <c r="H8" s="63">
        <f>ROUNDUP('Position Control'!AT34,-1)</f>
        <v>0</v>
      </c>
      <c r="I8" s="63">
        <f>ROUNDUP('Position Control'!AU34,-1)</f>
        <v>0</v>
      </c>
      <c r="J8" s="63">
        <f>ROUNDUP('Position Control'!AV34,-1)</f>
        <v>0</v>
      </c>
      <c r="K8" s="63">
        <f>ROUNDUP('Position Control'!AW34,-1)</f>
        <v>0</v>
      </c>
      <c r="L8" s="63">
        <f>ROUNDUP('Position Control'!AX34,-1)</f>
        <v>0</v>
      </c>
      <c r="M8" s="63">
        <f>ROUNDUP('Position Control'!AY34,-1)</f>
        <v>0</v>
      </c>
      <c r="N8" s="63">
        <f>ROUNDUP('Position Control'!AZ34,-1)</f>
        <v>0</v>
      </c>
      <c r="O8" s="63">
        <f>ROUNDUP('Position Control'!BA34,-1)</f>
        <v>0</v>
      </c>
      <c r="P8" s="63">
        <f>ROUNDUP('Position Control'!BB34,-1)</f>
        <v>0</v>
      </c>
      <c r="Q8" s="63">
        <f>ROUNDUP('Position Control'!BC34,-1)</f>
        <v>0</v>
      </c>
      <c r="R8" s="63">
        <f>ROUNDUP('Position Control'!BD34,-1)</f>
        <v>40</v>
      </c>
      <c r="S8" s="63">
        <f>ROUNDUP('Position Control'!BE34,-1)</f>
        <v>500</v>
      </c>
      <c r="T8" s="63">
        <f>ROUNDUP('Position Control'!BF34,-1)</f>
        <v>230</v>
      </c>
      <c r="U8" s="63">
        <f>ROUNDUP('Position Control'!BG34,-1)</f>
        <v>470</v>
      </c>
      <c r="V8" s="63">
        <f>ROUNDUP('Position Control'!BH34,-1)</f>
        <v>9220</v>
      </c>
      <c r="W8" s="63">
        <f>ROUNDUP('Position Control'!BI34,-1)</f>
        <v>1500</v>
      </c>
      <c r="X8" s="63">
        <f>ROUNDUP('Position Control'!BJ34,-1)</f>
        <v>360</v>
      </c>
      <c r="Y8" s="63">
        <f>ROUNDUP('Position Control'!BK34,-1)</f>
        <v>14330</v>
      </c>
      <c r="Z8" s="63">
        <f>ROUNDUP('Position Control'!BL34,-1)</f>
        <v>90</v>
      </c>
      <c r="AA8" s="63">
        <f>ROUNDUP('Position Control'!BM34,-1)</f>
        <v>220</v>
      </c>
      <c r="AB8" s="63">
        <f>ROUNDUP('Position Control'!BN34,-1)</f>
        <v>1230</v>
      </c>
      <c r="AC8" s="63">
        <f>ROUNDUP('Position Control'!BO34,-1)</f>
        <v>160</v>
      </c>
      <c r="AD8" s="63">
        <f>ROUNDUP('Position Control'!BP34,-1)</f>
        <v>0</v>
      </c>
      <c r="AE8" s="63">
        <f>ROUNDUP('Position Control'!BQ34,-1)</f>
        <v>0</v>
      </c>
      <c r="AF8" s="63">
        <f t="shared" si="0"/>
        <v>142550</v>
      </c>
    </row>
    <row r="9" spans="1:32" x14ac:dyDescent="0.35">
      <c r="A9" s="9" t="s">
        <v>434</v>
      </c>
      <c r="B9" s="128">
        <f>'Position Control'!G46</f>
        <v>10</v>
      </c>
      <c r="C9" s="63">
        <f>ROUNDUP('Position Control'!AO46,-1)</f>
        <v>426450</v>
      </c>
      <c r="D9" s="63">
        <f>ROUNDUP('Position Control'!AP46,-1)</f>
        <v>0</v>
      </c>
      <c r="E9" s="63">
        <f>ROUNDUP('Position Control'!AQ46,-1)</f>
        <v>0</v>
      </c>
      <c r="F9" s="63">
        <f>ROUNDUP('Position Control'!AR46,-1)</f>
        <v>0</v>
      </c>
      <c r="G9" s="63">
        <f>ROUNDUP('Position Control'!AS46,-1)</f>
        <v>0</v>
      </c>
      <c r="H9" s="63">
        <f>ROUNDUP('Position Control'!AT46,-1)</f>
        <v>0</v>
      </c>
      <c r="I9" s="63">
        <f>ROUNDUP('Position Control'!AU46,-1)</f>
        <v>0</v>
      </c>
      <c r="J9" s="63">
        <f>ROUNDUP('Position Control'!AV46,-1)</f>
        <v>8020</v>
      </c>
      <c r="K9" s="63">
        <f>ROUNDUP('Position Control'!AW46,-1)</f>
        <v>0</v>
      </c>
      <c r="L9" s="63">
        <f>ROUNDUP('Position Control'!AX46,-1)</f>
        <v>0</v>
      </c>
      <c r="M9" s="63">
        <f>ROUNDUP('Position Control'!AY46,-1)</f>
        <v>0</v>
      </c>
      <c r="N9" s="63">
        <f>ROUNDUP('Position Control'!AZ46,-1)</f>
        <v>0</v>
      </c>
      <c r="O9" s="63">
        <f>ROUNDUP('Position Control'!BA46,-1)</f>
        <v>0</v>
      </c>
      <c r="P9" s="63">
        <f>ROUNDUP('Position Control'!BB46,-1)</f>
        <v>0</v>
      </c>
      <c r="Q9" s="63">
        <f>ROUNDUP('Position Control'!BC46,-1)</f>
        <v>0</v>
      </c>
      <c r="R9" s="63">
        <f>ROUNDUP('Position Control'!BD46,-1)</f>
        <v>290</v>
      </c>
      <c r="S9" s="63">
        <f>ROUNDUP('Position Control'!BE46,-1)</f>
        <v>12860</v>
      </c>
      <c r="T9" s="63">
        <f>ROUNDUP('Position Control'!BF46,-1)</f>
        <v>1030</v>
      </c>
      <c r="U9" s="63">
        <f>ROUNDUP('Position Control'!BG46,-1)</f>
        <v>3420</v>
      </c>
      <c r="V9" s="63">
        <f>ROUNDUP('Position Control'!BH46,-1)</f>
        <v>62150</v>
      </c>
      <c r="W9" s="63">
        <f>ROUNDUP('Position Control'!BI46,-1)</f>
        <v>9000</v>
      </c>
      <c r="X9" s="63">
        <f>ROUNDUP('Position Control'!BJ46,-1)</f>
        <v>2160</v>
      </c>
      <c r="Y9" s="63">
        <f>ROUNDUP('Position Control'!BK46,-1)</f>
        <v>75430</v>
      </c>
      <c r="Z9" s="63">
        <f>ROUNDUP('Position Control'!BL46,-1)</f>
        <v>8220</v>
      </c>
      <c r="AA9" s="63">
        <f>ROUNDUP('Position Control'!BM46,-1)</f>
        <v>1570</v>
      </c>
      <c r="AB9" s="63">
        <f>ROUNDUP('Position Control'!BN46,-1)</f>
        <v>6310</v>
      </c>
      <c r="AC9" s="63">
        <f>ROUNDUP('Position Control'!BO46,-1)</f>
        <v>780</v>
      </c>
      <c r="AD9" s="63">
        <f>ROUNDUP('Position Control'!BP46,-1)</f>
        <v>0</v>
      </c>
      <c r="AE9" s="63">
        <f>ROUNDUP('Position Control'!BQ46,-1)</f>
        <v>0</v>
      </c>
      <c r="AF9" s="63">
        <f t="shared" si="0"/>
        <v>617690</v>
      </c>
    </row>
    <row r="10" spans="1:32" x14ac:dyDescent="0.35">
      <c r="A10" s="9" t="s">
        <v>435</v>
      </c>
      <c r="B10" s="128">
        <f>'Position Control'!G55</f>
        <v>7</v>
      </c>
      <c r="C10" s="63">
        <f>ROUNDUP('Position Control'!AO55,-1)</f>
        <v>582200</v>
      </c>
      <c r="D10" s="63">
        <f>ROUNDUP('Position Control'!AP55,-1)</f>
        <v>0</v>
      </c>
      <c r="E10" s="63">
        <f>ROUNDUP('Position Control'!AQ55,-1)-10</f>
        <v>3900</v>
      </c>
      <c r="F10" s="63">
        <f>ROUNDUP('Position Control'!AR55,-1)</f>
        <v>0</v>
      </c>
      <c r="G10" s="63">
        <f>ROUNDUP('Position Control'!AS55,-1)</f>
        <v>0</v>
      </c>
      <c r="H10" s="63">
        <f>ROUNDUP('Position Control'!AT55,-1)</f>
        <v>0</v>
      </c>
      <c r="I10" s="63">
        <f>ROUNDUP('Position Control'!AU55,-1)</f>
        <v>600</v>
      </c>
      <c r="J10" s="63">
        <f>ROUNDUP('Position Control'!AV55,-1)</f>
        <v>0</v>
      </c>
      <c r="K10" s="63">
        <f>ROUNDUP('Position Control'!AW55,-1)</f>
        <v>0</v>
      </c>
      <c r="L10" s="63">
        <f>ROUNDUP('Position Control'!AX55,-1)</f>
        <v>0</v>
      </c>
      <c r="M10" s="63">
        <f>ROUNDUP('Position Control'!AY55,-1)</f>
        <v>0</v>
      </c>
      <c r="N10" s="63">
        <f>ROUNDUP('Position Control'!AZ55,-1)</f>
        <v>0</v>
      </c>
      <c r="O10" s="63">
        <f>ROUNDUP('Position Control'!BA55,-1)</f>
        <v>0</v>
      </c>
      <c r="P10" s="63">
        <f>ROUNDUP('Position Control'!BB55,-1)</f>
        <v>0</v>
      </c>
      <c r="Q10" s="63">
        <f>ROUNDUP('Position Control'!BC55,-1)</f>
        <v>0</v>
      </c>
      <c r="R10" s="63">
        <f>ROUNDUP('Position Control'!BD55,-1)</f>
        <v>1710</v>
      </c>
      <c r="S10" s="63">
        <f>ROUNDUP('Position Control'!BE55,-1)</f>
        <v>1000</v>
      </c>
      <c r="T10" s="63">
        <f>ROUNDUP('Position Control'!BF55,-1)</f>
        <v>1150</v>
      </c>
      <c r="U10" s="63">
        <f>ROUNDUP('Position Control'!BG55,-1)</f>
        <v>1460</v>
      </c>
      <c r="V10" s="63">
        <f>ROUNDUP('Position Control'!BH55,-1)</f>
        <v>41840</v>
      </c>
      <c r="W10" s="63">
        <f>ROUNDUP('Position Control'!BI55,-1)</f>
        <v>1500</v>
      </c>
      <c r="X10" s="63">
        <f>ROUNDUP('Position Control'!BJ55,-1)</f>
        <v>800</v>
      </c>
      <c r="Y10" s="63">
        <f>ROUNDUP('Position Control'!BK55,-1)</f>
        <v>99090</v>
      </c>
      <c r="Z10" s="63">
        <f>ROUNDUP('Position Control'!BL55,-1)</f>
        <v>610</v>
      </c>
      <c r="AA10" s="63">
        <f>ROUNDUP('Position Control'!BM55,-1)</f>
        <v>1010</v>
      </c>
      <c r="AB10" s="63">
        <f>ROUNDUP('Position Control'!BN55,-1)</f>
        <v>8520</v>
      </c>
      <c r="AC10" s="63">
        <f>ROUNDUP('Position Control'!BO55,-1)</f>
        <v>1060</v>
      </c>
      <c r="AD10" s="63">
        <f>ROUNDUP('Position Control'!BP55,-1)</f>
        <v>1500</v>
      </c>
      <c r="AE10" s="63">
        <f>ROUNDUP('Position Control'!BQ55,-1)</f>
        <v>0</v>
      </c>
      <c r="AF10" s="63">
        <f t="shared" si="0"/>
        <v>747950</v>
      </c>
    </row>
    <row r="11" spans="1:32" x14ac:dyDescent="0.35">
      <c r="A11" s="9" t="s">
        <v>438</v>
      </c>
      <c r="B11" s="128">
        <f>'Position Control'!G62</f>
        <v>5</v>
      </c>
      <c r="C11" s="63">
        <f>ROUNDUP('Position Control'!AO62,-1)</f>
        <v>560570</v>
      </c>
      <c r="D11" s="63">
        <f>ROUNDUP('Position Control'!AP62,-1)</f>
        <v>0</v>
      </c>
      <c r="E11" s="63">
        <f>ROUNDUP('Position Control'!AQ62,-1)-10</f>
        <v>5100</v>
      </c>
      <c r="F11" s="63">
        <f>ROUNDUP('Position Control'!AR62,-1)</f>
        <v>0</v>
      </c>
      <c r="G11" s="63">
        <f>ROUNDUP('Position Control'!AS62,-1)</f>
        <v>1500</v>
      </c>
      <c r="H11" s="63">
        <f>ROUNDUP('Position Control'!AT62,-1)</f>
        <v>0</v>
      </c>
      <c r="I11" s="63">
        <f>ROUNDUP('Position Control'!AU62,-1)</f>
        <v>1200</v>
      </c>
      <c r="J11" s="63">
        <f>ROUNDUP('Position Control'!AV62,-1)</f>
        <v>5720</v>
      </c>
      <c r="K11" s="63">
        <f>ROUNDUP('Position Control'!AW62,-1)</f>
        <v>0</v>
      </c>
      <c r="L11" s="63">
        <f>ROUNDUP('Position Control'!AX62,-1)</f>
        <v>0</v>
      </c>
      <c r="M11" s="63">
        <f>ROUNDUP('Position Control'!AY62,-1)</f>
        <v>0</v>
      </c>
      <c r="N11" s="63">
        <f>ROUNDUP('Position Control'!AZ62,-1)</f>
        <v>0</v>
      </c>
      <c r="O11" s="63">
        <f>ROUNDUP('Position Control'!BA62,-1)</f>
        <v>0</v>
      </c>
      <c r="P11" s="63">
        <f>ROUNDUP('Position Control'!BB62,-1)</f>
        <v>0</v>
      </c>
      <c r="Q11" s="63">
        <f>ROUNDUP('Position Control'!BC62,-1)</f>
        <v>0</v>
      </c>
      <c r="R11" s="63">
        <f>ROUNDUP('Position Control'!BD62,-1)</f>
        <v>3250</v>
      </c>
      <c r="S11" s="63">
        <f>ROUNDUP('Position Control'!BE62,-1)</f>
        <v>3200</v>
      </c>
      <c r="T11" s="63">
        <f>ROUNDUP('Position Control'!BF62,-1)</f>
        <v>880</v>
      </c>
      <c r="U11" s="63">
        <f>ROUNDUP('Position Control'!BG62,-1)</f>
        <v>2300</v>
      </c>
      <c r="V11" s="63">
        <f>ROUNDUP('Position Control'!BH62,-1)</f>
        <v>56890</v>
      </c>
      <c r="W11" s="63">
        <f>ROUNDUP('Position Control'!BI62,-1)</f>
        <v>3000</v>
      </c>
      <c r="X11" s="63">
        <f>ROUNDUP('Position Control'!BJ62,-1)</f>
        <v>860</v>
      </c>
      <c r="Y11" s="63">
        <f>ROUNDUP('Position Control'!BK62,-1)</f>
        <v>97340</v>
      </c>
      <c r="Z11" s="63">
        <f>ROUNDUP('Position Control'!BL62,-1)</f>
        <v>4720</v>
      </c>
      <c r="AA11" s="63">
        <f>ROUNDUP('Position Control'!BM62,-1)</f>
        <v>840</v>
      </c>
      <c r="AB11" s="63">
        <f>ROUNDUP('Position Control'!BN62,-1)</f>
        <v>8330</v>
      </c>
      <c r="AC11" s="63">
        <f>ROUNDUP('Position Control'!BO62,-1)</f>
        <v>1040</v>
      </c>
      <c r="AD11" s="63">
        <f>ROUNDUP('Position Control'!BP62,-1)</f>
        <v>4750</v>
      </c>
      <c r="AE11" s="63">
        <f>ROUNDUP('Position Control'!BQ62,-1)</f>
        <v>28500</v>
      </c>
      <c r="AF11" s="63">
        <f t="shared" si="0"/>
        <v>789990</v>
      </c>
    </row>
    <row r="12" spans="1:32" x14ac:dyDescent="0.35">
      <c r="A12" s="9" t="s">
        <v>439</v>
      </c>
      <c r="B12" s="128">
        <f>'Position Control'!G73</f>
        <v>1.56</v>
      </c>
      <c r="C12" s="63">
        <f>ROUNDUP('Position Control'!AO73,-1)</f>
        <v>48850</v>
      </c>
      <c r="D12" s="63">
        <f>ROUNDUP('Position Control'!AP73,-1)</f>
        <v>0</v>
      </c>
      <c r="E12" s="63">
        <f>ROUNDUP('Position Control'!AQ73,-1)</f>
        <v>0</v>
      </c>
      <c r="F12" s="63">
        <f>ROUNDUP('Position Control'!AR73,-1)</f>
        <v>0</v>
      </c>
      <c r="G12" s="63">
        <f>ROUNDUP('Position Control'!AS73,-1)</f>
        <v>0</v>
      </c>
      <c r="H12" s="63">
        <f>ROUNDUP('Position Control'!AT73,-1)</f>
        <v>0</v>
      </c>
      <c r="I12" s="63">
        <f>ROUNDUP('Position Control'!AU73,-1)</f>
        <v>0</v>
      </c>
      <c r="J12" s="63">
        <f>ROUNDUP('Position Control'!AV73,-1)</f>
        <v>0</v>
      </c>
      <c r="K12" s="63">
        <f>ROUNDUP('Position Control'!AW73,-1)</f>
        <v>0</v>
      </c>
      <c r="L12" s="63">
        <f>ROUNDUP('Position Control'!AX73,-1)</f>
        <v>0</v>
      </c>
      <c r="M12" s="63">
        <f>ROUNDUP('Position Control'!AY73,-1)</f>
        <v>0</v>
      </c>
      <c r="N12" s="63">
        <f>ROUNDUP('Position Control'!AZ73,-1)</f>
        <v>0</v>
      </c>
      <c r="O12" s="63">
        <f>ROUNDUP('Position Control'!BA73,-1)</f>
        <v>0</v>
      </c>
      <c r="P12" s="63">
        <f>ROUNDUP('Position Control'!BB73,-1)</f>
        <v>0</v>
      </c>
      <c r="Q12" s="63">
        <f>ROUNDUP('Position Control'!BC73,-1)</f>
        <v>0</v>
      </c>
      <c r="R12" s="63">
        <f>ROUNDUP('Position Control'!BD73,-1)</f>
        <v>0</v>
      </c>
      <c r="S12" s="63">
        <f>ROUNDUP('Position Control'!BE73,-1)</f>
        <v>0</v>
      </c>
      <c r="T12" s="63">
        <f>ROUNDUP('Position Control'!BF73,-1)</f>
        <v>0</v>
      </c>
      <c r="U12" s="63">
        <f>ROUNDUP('Position Control'!BG73,-1)</f>
        <v>0</v>
      </c>
      <c r="V12" s="63">
        <f>ROUNDUP('Position Control'!BH73,-1)</f>
        <v>0</v>
      </c>
      <c r="W12" s="63">
        <f>ROUNDUP('Position Control'!BI73,-1)</f>
        <v>0</v>
      </c>
      <c r="X12" s="63">
        <f>ROUNDUP('Position Control'!BJ73,-1)</f>
        <v>0</v>
      </c>
      <c r="Y12" s="63">
        <f>ROUNDUP('Position Control'!BK73,-1)</f>
        <v>0</v>
      </c>
      <c r="Z12" s="63">
        <f>ROUNDUP('Position Control'!BL73,-1)</f>
        <v>410</v>
      </c>
      <c r="AA12" s="63">
        <f>ROUNDUP('Position Control'!BM73,-1)</f>
        <v>650</v>
      </c>
      <c r="AB12" s="63">
        <f>ROUNDUP('Position Control'!BN73,-1)</f>
        <v>720</v>
      </c>
      <c r="AC12" s="63">
        <f>ROUNDUP('Position Control'!BO73,-1)</f>
        <v>40</v>
      </c>
      <c r="AD12" s="63">
        <f>ROUNDUP('Position Control'!BP73,-1)</f>
        <v>0</v>
      </c>
      <c r="AE12" s="63">
        <f>ROUNDUP('Position Control'!BQ73,-1)</f>
        <v>0</v>
      </c>
      <c r="AF12" s="63">
        <f t="shared" si="0"/>
        <v>50670</v>
      </c>
    </row>
    <row r="13" spans="1:32" x14ac:dyDescent="0.35">
      <c r="A13" s="9" t="s">
        <v>441</v>
      </c>
      <c r="B13" s="128">
        <f>'Position Control'!G121</f>
        <v>46</v>
      </c>
      <c r="C13" s="63">
        <f>ROUNDUP('Position Control'!AO121,-1)</f>
        <v>3043990</v>
      </c>
      <c r="D13" s="63">
        <f>ROUNDUP('Position Control'!AP121,-1)</f>
        <v>0</v>
      </c>
      <c r="E13" s="63">
        <f>ROUNDUP('Position Control'!AQ121,-1)-10</f>
        <v>55510</v>
      </c>
      <c r="F13" s="63">
        <f>ROUNDUP('Position Control'!AR121,-1)</f>
        <v>0</v>
      </c>
      <c r="G13" s="63">
        <f>ROUNDUP('Position Control'!AS121,-1)</f>
        <v>6000</v>
      </c>
      <c r="H13" s="63">
        <f>ROUNDUP('Position Control'!AT121,-1)</f>
        <v>3010</v>
      </c>
      <c r="I13" s="63">
        <f>ROUNDUP('Position Control'!AU121,-1)</f>
        <v>0</v>
      </c>
      <c r="J13" s="63">
        <f>ROUNDUP('Position Control'!AV121,-1)</f>
        <v>98800</v>
      </c>
      <c r="K13" s="63">
        <f>ROUNDUP('Position Control'!AW121,-1)</f>
        <v>1210</v>
      </c>
      <c r="L13" s="63">
        <f>ROUNDUP('Position Control'!AX121,-1)</f>
        <v>0</v>
      </c>
      <c r="M13" s="63">
        <f>ROUNDUP('Position Control'!AY121,-1)</f>
        <v>0</v>
      </c>
      <c r="N13" s="63">
        <f>ROUNDUP('Position Control'!AZ121,-1)</f>
        <v>0</v>
      </c>
      <c r="O13" s="63">
        <f>ROUNDUP('Position Control'!BA121,-1)</f>
        <v>0</v>
      </c>
      <c r="P13" s="63">
        <f>ROUNDUP('Position Control'!BB121,-1)</f>
        <v>0</v>
      </c>
      <c r="Q13" s="63">
        <f>ROUNDUP('Position Control'!BC121,-1)</f>
        <v>0</v>
      </c>
      <c r="R13" s="63">
        <f>ROUNDUP('Position Control'!BD121,-1)</f>
        <v>22270</v>
      </c>
      <c r="S13" s="63">
        <f>ROUNDUP('Position Control'!BE121,-1)</f>
        <v>273300</v>
      </c>
      <c r="T13" s="63">
        <f>ROUNDUP('Position Control'!BF121,-1)</f>
        <v>6660</v>
      </c>
      <c r="U13" s="63">
        <f>ROUNDUP('Position Control'!BG121,-1)</f>
        <v>14690</v>
      </c>
      <c r="V13" s="63">
        <f>ROUNDUP('Position Control'!BH121,-1)</f>
        <v>306030</v>
      </c>
      <c r="W13" s="63">
        <f>ROUNDUP('Position Control'!BI121,-1)</f>
        <v>28500</v>
      </c>
      <c r="X13" s="63">
        <f>ROUNDUP('Position Control'!BJ121,-1)</f>
        <v>7370</v>
      </c>
      <c r="Y13" s="63">
        <f>ROUNDUP('Position Control'!BK121,-1)</f>
        <v>587060</v>
      </c>
      <c r="Z13" s="63">
        <f>ROUNDUP('Position Control'!BL121,-1)</f>
        <v>24620</v>
      </c>
      <c r="AA13" s="63">
        <f>ROUNDUP('Position Control'!BM121,-1)</f>
        <v>6770</v>
      </c>
      <c r="AB13" s="63">
        <f>ROUNDUP('Position Control'!BN121,-1)</f>
        <v>46550</v>
      </c>
      <c r="AC13" s="63">
        <f>ROUNDUP('Position Control'!BO121,-1)</f>
        <v>5780</v>
      </c>
      <c r="AD13" s="63">
        <f>ROUNDUP('Position Control'!BP121,-1)</f>
        <v>29000</v>
      </c>
      <c r="AE13" s="63">
        <f>ROUNDUP('Position Control'!BQ121,-1)</f>
        <v>108630</v>
      </c>
      <c r="AF13" s="63">
        <f t="shared" si="0"/>
        <v>4675750</v>
      </c>
    </row>
    <row r="14" spans="1:32" x14ac:dyDescent="0.35">
      <c r="A14" s="9" t="s">
        <v>442</v>
      </c>
      <c r="B14" s="128">
        <f>'Position Control'!G133</f>
        <v>9.5</v>
      </c>
      <c r="C14" s="63">
        <f>ROUNDUP('Position Control'!AO133,-1)</f>
        <v>1014910</v>
      </c>
      <c r="D14" s="63">
        <f>ROUNDUP('Position Control'!AP133,-1)</f>
        <v>0</v>
      </c>
      <c r="E14" s="63">
        <f>ROUNDUP('Position Control'!AQ133,-1)-10</f>
        <v>12750</v>
      </c>
      <c r="F14" s="63">
        <f>ROUNDUP('Position Control'!AR133,-1)</f>
        <v>7410</v>
      </c>
      <c r="G14" s="63">
        <f>ROUNDUP('Position Control'!AS133,-1)</f>
        <v>3000</v>
      </c>
      <c r="H14" s="63">
        <f>ROUNDUP('Position Control'!AT133,-1)</f>
        <v>0</v>
      </c>
      <c r="I14" s="63">
        <f>ROUNDUP('Position Control'!AU133,-1)</f>
        <v>4200</v>
      </c>
      <c r="J14" s="63">
        <f>ROUNDUP('Position Control'!AV133,-1)</f>
        <v>0</v>
      </c>
      <c r="K14" s="63">
        <f>ROUNDUP('Position Control'!AW133,-1)</f>
        <v>0</v>
      </c>
      <c r="L14" s="63">
        <f>ROUNDUP('Position Control'!AX133,-1)</f>
        <v>0</v>
      </c>
      <c r="M14" s="63">
        <f>ROUNDUP('Position Control'!AY133,-1)</f>
        <v>0</v>
      </c>
      <c r="N14" s="63">
        <f>ROUNDUP('Position Control'!AZ133,-1)</f>
        <v>0</v>
      </c>
      <c r="O14" s="63">
        <f>ROUNDUP('Position Control'!BA133,-1)</f>
        <v>0</v>
      </c>
      <c r="P14" s="63">
        <f>ROUNDUP('Position Control'!BB133,-1)</f>
        <v>0</v>
      </c>
      <c r="Q14" s="63">
        <f>ROUNDUP('Position Control'!BC133,-1)</f>
        <v>0</v>
      </c>
      <c r="R14" s="63">
        <f>ROUNDUP('Position Control'!BD133,-1)</f>
        <v>7390</v>
      </c>
      <c r="S14" s="63">
        <f>ROUNDUP('Position Control'!BE133,-1)</f>
        <v>4500</v>
      </c>
      <c r="T14" s="63">
        <f>ROUNDUP('Position Control'!BF133,-1)</f>
        <v>1510</v>
      </c>
      <c r="U14" s="63">
        <f>ROUNDUP('Position Control'!BG133,-1)</f>
        <v>4090</v>
      </c>
      <c r="V14" s="63">
        <f>ROUNDUP('Position Control'!BH133,-1)</f>
        <v>80380</v>
      </c>
      <c r="W14" s="63">
        <f>ROUNDUP('Position Control'!BI133,-1)</f>
        <v>5500</v>
      </c>
      <c r="X14" s="63">
        <f>ROUNDUP('Position Control'!BJ133,-1)</f>
        <v>1470</v>
      </c>
      <c r="Y14" s="63">
        <f>ROUNDUP('Position Control'!BK133,-1)</f>
        <v>176500</v>
      </c>
      <c r="Z14" s="63">
        <f>ROUNDUP('Position Control'!BL133,-1)</f>
        <v>10570</v>
      </c>
      <c r="AA14" s="63">
        <f>ROUNDUP('Position Control'!BM133,-1)</f>
        <v>1490</v>
      </c>
      <c r="AB14" s="63">
        <f>ROUNDUP('Position Control'!BN133,-1)</f>
        <v>13100</v>
      </c>
      <c r="AC14" s="63">
        <f>ROUNDUP('Position Control'!BO133,-1)</f>
        <v>1880</v>
      </c>
      <c r="AD14" s="63">
        <f>ROUNDUP('Position Control'!BP133,-1)</f>
        <v>11500</v>
      </c>
      <c r="AE14" s="63">
        <f>ROUNDUP('Position Control'!BQ133,-1)</f>
        <v>240</v>
      </c>
      <c r="AF14" s="63">
        <f t="shared" si="0"/>
        <v>1362390</v>
      </c>
    </row>
    <row r="15" spans="1:32" x14ac:dyDescent="0.35">
      <c r="A15" s="9" t="s">
        <v>443</v>
      </c>
      <c r="B15" s="128">
        <f>'Position Control'!G172</f>
        <v>37</v>
      </c>
      <c r="C15" s="63">
        <f>ROUNDUP('Position Control'!AO172,-1)</f>
        <v>2941570</v>
      </c>
      <c r="D15" s="63">
        <f>ROUNDUP('Position Control'!AP172,-1)</f>
        <v>0</v>
      </c>
      <c r="E15" s="63">
        <f>ROUNDUP('Position Control'!AQ172,-1)</f>
        <v>54000</v>
      </c>
      <c r="F15" s="63">
        <f>ROUNDUP('Position Control'!AR172,-1)</f>
        <v>37200</v>
      </c>
      <c r="G15" s="63">
        <f>ROUNDUP('Position Control'!AS172,-1)</f>
        <v>32000</v>
      </c>
      <c r="H15" s="63">
        <f>ROUNDUP('Position Control'!AT172,-1)</f>
        <v>0</v>
      </c>
      <c r="I15" s="63">
        <f>ROUNDUP('Position Control'!AU172,-1)</f>
        <v>0</v>
      </c>
      <c r="J15" s="63">
        <f>ROUNDUP('Position Control'!AV172,-1)</f>
        <v>0</v>
      </c>
      <c r="K15" s="63">
        <f>ROUNDUP('Position Control'!AW172,-1)</f>
        <v>12000</v>
      </c>
      <c r="L15" s="63">
        <f>ROUNDUP('Position Control'!AX172,-1)</f>
        <v>0</v>
      </c>
      <c r="M15" s="63">
        <f>ROUNDUP('Position Control'!AY172,-1)</f>
        <v>0</v>
      </c>
      <c r="N15" s="63">
        <f>ROUNDUP('Position Control'!AZ172,-1)</f>
        <v>0</v>
      </c>
      <c r="O15" s="63">
        <f>ROUNDUP('Position Control'!BA172,-1)</f>
        <v>0</v>
      </c>
      <c r="P15" s="63">
        <f>ROUNDUP('Position Control'!BB172,-1)</f>
        <v>0</v>
      </c>
      <c r="Q15" s="63">
        <f>ROUNDUP('Position Control'!BC172,-1)</f>
        <v>0</v>
      </c>
      <c r="R15" s="63">
        <f>ROUNDUP('Position Control'!BD172,-1)</f>
        <v>21470</v>
      </c>
      <c r="S15" s="63">
        <f>ROUNDUP('Position Control'!BE172,-1)</f>
        <v>500000</v>
      </c>
      <c r="T15" s="63">
        <f>ROUNDUP('Position Control'!BF172,-1)</f>
        <v>6330</v>
      </c>
      <c r="U15" s="63">
        <f>ROUNDUP('Position Control'!BG172,-1)</f>
        <v>15970</v>
      </c>
      <c r="V15" s="63">
        <f>ROUNDUP('Position Control'!BH172,-1)</f>
        <v>369810</v>
      </c>
      <c r="W15" s="63">
        <f>ROUNDUP('Position Control'!BI172,-1)</f>
        <v>19000</v>
      </c>
      <c r="X15" s="63">
        <f>ROUNDUP('Position Control'!BJ172,-1)</f>
        <v>5040</v>
      </c>
      <c r="Y15" s="63">
        <f>ROUNDUP('Position Control'!BK172,-1)</f>
        <v>603070</v>
      </c>
      <c r="Z15" s="63">
        <f>ROUNDUP('Position Control'!BL172,-1)</f>
        <v>38330</v>
      </c>
      <c r="AA15" s="63">
        <f>ROUNDUP('Position Control'!BM172,-1)</f>
        <v>5480</v>
      </c>
      <c r="AB15" s="63">
        <f>ROUNDUP('Position Control'!BN172,-1)</f>
        <v>44640</v>
      </c>
      <c r="AC15" s="63">
        <f>ROUNDUP('Position Control'!BO172,-1)</f>
        <v>5540</v>
      </c>
      <c r="AD15" s="63">
        <f>ROUNDUP('Position Control'!BP172,-1)</f>
        <v>26250</v>
      </c>
      <c r="AE15" s="63">
        <f>ROUNDUP('Position Control'!BQ172,-1)</f>
        <v>5470</v>
      </c>
      <c r="AF15" s="63">
        <f t="shared" si="0"/>
        <v>4743170</v>
      </c>
    </row>
    <row r="16" spans="1:32" x14ac:dyDescent="0.35">
      <c r="A16" s="9" t="s">
        <v>445</v>
      </c>
      <c r="B16" s="128">
        <f>'Position Control'!G187</f>
        <v>13</v>
      </c>
      <c r="C16" s="63">
        <f>ROUNDUP('Position Control'!AO187,-1)</f>
        <v>704840</v>
      </c>
      <c r="D16" s="63">
        <f>ROUNDUP('Position Control'!AP187,-1)</f>
        <v>0</v>
      </c>
      <c r="E16" s="63">
        <f>ROUNDUP('Position Control'!AQ187,-1)-10</f>
        <v>5700</v>
      </c>
      <c r="F16" s="63">
        <f>ROUNDUP('Position Control'!AR187,-1)</f>
        <v>0</v>
      </c>
      <c r="G16" s="63">
        <f>ROUNDUP('Position Control'!AS187,-1)</f>
        <v>0</v>
      </c>
      <c r="H16" s="63">
        <f>ROUNDUP('Position Control'!AT187,-1)</f>
        <v>0</v>
      </c>
      <c r="I16" s="63">
        <f>ROUNDUP('Position Control'!AU187,-1)</f>
        <v>0</v>
      </c>
      <c r="J16" s="63">
        <f>ROUNDUP('Position Control'!AV187,-1)</f>
        <v>0</v>
      </c>
      <c r="K16" s="63">
        <f>ROUNDUP('Position Control'!AW187,-1)</f>
        <v>0</v>
      </c>
      <c r="L16" s="63">
        <f>ROUNDUP('Position Control'!AX187,-1)</f>
        <v>0</v>
      </c>
      <c r="M16" s="63">
        <f>ROUNDUP('Position Control'!AY187,-1)</f>
        <v>0</v>
      </c>
      <c r="N16" s="63">
        <f>ROUNDUP('Position Control'!AZ187,-1)</f>
        <v>0</v>
      </c>
      <c r="O16" s="63">
        <f>ROUNDUP('Position Control'!BA187,-1)</f>
        <v>0</v>
      </c>
      <c r="P16" s="63">
        <f>ROUNDUP('Position Control'!BB187,-1)</f>
        <v>0</v>
      </c>
      <c r="Q16" s="63">
        <f>ROUNDUP('Position Control'!BC187,-1)</f>
        <v>0</v>
      </c>
      <c r="R16" s="63">
        <f>ROUNDUP('Position Control'!BD187,-1)</f>
        <v>9800</v>
      </c>
      <c r="S16" s="63">
        <f>ROUNDUP('Position Control'!BE187,-1)</f>
        <v>13000</v>
      </c>
      <c r="T16" s="63">
        <f>ROUNDUP('Position Control'!BF187,-1)</f>
        <v>1560</v>
      </c>
      <c r="U16" s="63">
        <f>ROUNDUP('Position Control'!BG187,-1)</f>
        <v>5170</v>
      </c>
      <c r="V16" s="63">
        <f>ROUNDUP('Position Control'!BH187,-1)</f>
        <v>86680</v>
      </c>
      <c r="W16" s="63">
        <f>ROUNDUP('Position Control'!BI187,-1)</f>
        <v>11500</v>
      </c>
      <c r="X16" s="63">
        <f>ROUNDUP('Position Control'!BJ187,-1)</f>
        <v>2270</v>
      </c>
      <c r="Y16" s="63">
        <f>ROUNDUP('Position Control'!BK187,-1)</f>
        <v>122000</v>
      </c>
      <c r="Z16" s="63">
        <f>ROUNDUP('Position Control'!BL187,-1)</f>
        <v>6350</v>
      </c>
      <c r="AA16" s="63">
        <f>ROUNDUP('Position Control'!BM187,-1)</f>
        <v>1880</v>
      </c>
      <c r="AB16" s="63">
        <f>ROUNDUP('Position Control'!BN187,-1)</f>
        <v>7960</v>
      </c>
      <c r="AC16" s="63">
        <f>ROUNDUP('Position Control'!BO187,-1)</f>
        <v>1280</v>
      </c>
      <c r="AD16" s="63">
        <f>ROUNDUP('Position Control'!BP187,-1)</f>
        <v>13750</v>
      </c>
      <c r="AE16" s="63">
        <f>ROUNDUP('Position Control'!BQ187,-1)</f>
        <v>4160</v>
      </c>
      <c r="AF16" s="63">
        <f t="shared" si="0"/>
        <v>997900</v>
      </c>
    </row>
    <row r="17" spans="1:32" x14ac:dyDescent="0.35">
      <c r="A17" s="9" t="s">
        <v>446</v>
      </c>
      <c r="B17" s="128">
        <f>'Position Control'!G212</f>
        <v>9.48</v>
      </c>
      <c r="C17" s="63">
        <f>ROUNDUP('Position Control'!AO212,-1)</f>
        <v>294220</v>
      </c>
      <c r="D17" s="63">
        <f>ROUNDUP('Position Control'!AP212,-1)</f>
        <v>0</v>
      </c>
      <c r="E17" s="63">
        <f>ROUNDUP('Position Control'!AQ212,-1)-10</f>
        <v>1350</v>
      </c>
      <c r="F17" s="63">
        <f>ROUNDUP('Position Control'!AR212,-1)</f>
        <v>0</v>
      </c>
      <c r="G17" s="63">
        <f>ROUNDUP('Position Control'!AS212,-1)</f>
        <v>0</v>
      </c>
      <c r="H17" s="63">
        <f>ROUNDUP('Position Control'!AT212,-1)</f>
        <v>0</v>
      </c>
      <c r="I17" s="63">
        <f>ROUNDUP('Position Control'!AU212,-1)</f>
        <v>0</v>
      </c>
      <c r="J17" s="63">
        <f>ROUNDUP('Position Control'!AV212,-1)</f>
        <v>0</v>
      </c>
      <c r="K17" s="63">
        <f>ROUNDUP('Position Control'!AW212,-1)</f>
        <v>0</v>
      </c>
      <c r="L17" s="63">
        <f>ROUNDUP('Position Control'!AX212,-1)</f>
        <v>0</v>
      </c>
      <c r="M17" s="63">
        <f>ROUNDUP('Position Control'!AY212,-1)</f>
        <v>0</v>
      </c>
      <c r="N17" s="63">
        <f>ROUNDUP('Position Control'!AZ212,-1)</f>
        <v>0</v>
      </c>
      <c r="O17" s="63">
        <f>ROUNDUP('Position Control'!BA212,-1)</f>
        <v>0</v>
      </c>
      <c r="P17" s="63">
        <f>ROUNDUP('Position Control'!BB212,-1)</f>
        <v>0</v>
      </c>
      <c r="Q17" s="63">
        <f>ROUNDUP('Position Control'!BC212,-1)</f>
        <v>0</v>
      </c>
      <c r="R17" s="63">
        <f>ROUNDUP('Position Control'!BD212,-1)</f>
        <v>2630</v>
      </c>
      <c r="S17" s="63">
        <f>ROUNDUP('Position Control'!BE212,-1)</f>
        <v>9000</v>
      </c>
      <c r="T17" s="63">
        <f>ROUNDUP('Position Control'!BF212,-1)</f>
        <v>670</v>
      </c>
      <c r="U17" s="63">
        <f>ROUNDUP('Position Control'!BG212,-1)</f>
        <v>2090</v>
      </c>
      <c r="V17" s="63">
        <f>ROUNDUP('Position Control'!BH212,-1)</f>
        <v>48790</v>
      </c>
      <c r="W17" s="63">
        <f>ROUNDUP('Position Control'!BI212,-1)</f>
        <v>2250</v>
      </c>
      <c r="X17" s="63">
        <f>ROUNDUP('Position Control'!BJ212,-1)</f>
        <v>680</v>
      </c>
      <c r="Y17" s="63">
        <f>ROUNDUP('Position Control'!BK212,-1)</f>
        <v>44130</v>
      </c>
      <c r="Z17" s="63">
        <f>ROUNDUP('Position Control'!BL212,-1)</f>
        <v>2190</v>
      </c>
      <c r="AA17" s="63">
        <f>ROUNDUP('Position Control'!BM212,-1)</f>
        <v>940</v>
      </c>
      <c r="AB17" s="63">
        <f>ROUNDUP('Position Control'!BN212,-1)</f>
        <v>3670</v>
      </c>
      <c r="AC17" s="63">
        <f>ROUNDUP('Position Control'!BO212,-1)</f>
        <v>460</v>
      </c>
      <c r="AD17" s="63">
        <f>ROUNDUP('Position Control'!BP212,-1)</f>
        <v>2750</v>
      </c>
      <c r="AE17" s="63">
        <f>ROUNDUP('Position Control'!BQ212,-1)</f>
        <v>240</v>
      </c>
      <c r="AF17" s="63">
        <f t="shared" si="0"/>
        <v>416060</v>
      </c>
    </row>
    <row r="18" spans="1:32" x14ac:dyDescent="0.35">
      <c r="A18" s="9" t="s">
        <v>590</v>
      </c>
      <c r="B18" s="128">
        <f>'Position Control'!G222</f>
        <v>1.19</v>
      </c>
      <c r="C18" s="63">
        <f>ROUNDUP('Position Control'!AO222,-1)</f>
        <v>28750</v>
      </c>
      <c r="D18" s="63">
        <f>ROUNDUP('Position Control'!AP222,-1)</f>
        <v>0</v>
      </c>
      <c r="E18" s="63">
        <f>ROUNDUP('Position Control'!AQ222,-1)</f>
        <v>0</v>
      </c>
      <c r="F18" s="63">
        <f>ROUNDUP('Position Control'!AR222,-1)</f>
        <v>0</v>
      </c>
      <c r="G18" s="63">
        <f>ROUNDUP('Position Control'!AS222,-1)</f>
        <v>0</v>
      </c>
      <c r="H18" s="63">
        <f>ROUNDUP('Position Control'!AT222,-1)</f>
        <v>0</v>
      </c>
      <c r="I18" s="63">
        <f>ROUNDUP('Position Control'!AU222,-1)</f>
        <v>0</v>
      </c>
      <c r="J18" s="63">
        <f>ROUNDUP('Position Control'!AV222,-1)</f>
        <v>0</v>
      </c>
      <c r="K18" s="63">
        <f>ROUNDUP('Position Control'!AW222,-1)</f>
        <v>0</v>
      </c>
      <c r="L18" s="63">
        <f>ROUNDUP('Position Control'!AX222,-1)</f>
        <v>0</v>
      </c>
      <c r="M18" s="63">
        <f>ROUNDUP('Position Control'!AY222,-1)</f>
        <v>0</v>
      </c>
      <c r="N18" s="63">
        <f>ROUNDUP('Position Control'!AZ222,-1)</f>
        <v>0</v>
      </c>
      <c r="O18" s="63">
        <f>ROUNDUP('Position Control'!BA222,-1)</f>
        <v>0</v>
      </c>
      <c r="P18" s="63">
        <f>ROUNDUP('Position Control'!BB222,-1)</f>
        <v>0</v>
      </c>
      <c r="Q18" s="63">
        <f>ROUNDUP('Position Control'!BC222,-1)</f>
        <v>0</v>
      </c>
      <c r="R18" s="63">
        <f>ROUNDUP('Position Control'!BD222,-1)</f>
        <v>0</v>
      </c>
      <c r="S18" s="63">
        <f>ROUNDUP('Position Control'!BE222,-1)</f>
        <v>0</v>
      </c>
      <c r="T18" s="63">
        <f>ROUNDUP('Position Control'!BF222,-1)</f>
        <v>0</v>
      </c>
      <c r="U18" s="63">
        <f>ROUNDUP('Position Control'!BG222,-1)</f>
        <v>0</v>
      </c>
      <c r="V18" s="63">
        <f>ROUNDUP('Position Control'!BH222,-1)</f>
        <v>0</v>
      </c>
      <c r="W18" s="63">
        <f>ROUNDUP('Position Control'!BI222,-1)</f>
        <v>0</v>
      </c>
      <c r="X18" s="63">
        <f>ROUNDUP('Position Control'!BJ222,-1)</f>
        <v>0</v>
      </c>
      <c r="Y18" s="63">
        <f>ROUNDUP('Position Control'!BK222,-1)</f>
        <v>0</v>
      </c>
      <c r="Z18" s="63">
        <f>ROUNDUP('Position Control'!BL222,-1)</f>
        <v>270</v>
      </c>
      <c r="AA18" s="63">
        <f>ROUNDUP('Position Control'!BM222,-1)</f>
        <v>470</v>
      </c>
      <c r="AB18" s="63">
        <f>ROUNDUP('Position Control'!BN222,-1)</f>
        <v>430</v>
      </c>
      <c r="AC18" s="63">
        <f>ROUNDUP('Position Control'!BO222,-1)</f>
        <v>0</v>
      </c>
      <c r="AD18" s="63">
        <f>ROUNDUP('Position Control'!BP222,-1)</f>
        <v>0</v>
      </c>
      <c r="AE18" s="63">
        <f>ROUNDUP('Position Control'!BQ222,-1)</f>
        <v>0</v>
      </c>
      <c r="AF18" s="63">
        <f t="shared" si="0"/>
        <v>29920</v>
      </c>
    </row>
    <row r="19" spans="1:32" s="129" customFormat="1" x14ac:dyDescent="0.35">
      <c r="A19" s="129" t="s">
        <v>461</v>
      </c>
      <c r="B19" s="130">
        <f>SUBTOTAL(9,B3:B17)</f>
        <v>157.04</v>
      </c>
      <c r="C19" s="131">
        <f t="shared" ref="C19:AF19" si="1">SUBTOTAL(9,C3:C18)</f>
        <v>11103210</v>
      </c>
      <c r="D19" s="131">
        <f t="shared" si="1"/>
        <v>7200</v>
      </c>
      <c r="E19" s="131">
        <f t="shared" si="1"/>
        <v>146410</v>
      </c>
      <c r="F19" s="131">
        <f t="shared" si="1"/>
        <v>44610</v>
      </c>
      <c r="G19" s="131">
        <f t="shared" si="1"/>
        <v>42500</v>
      </c>
      <c r="H19" s="131">
        <f t="shared" si="1"/>
        <v>3010</v>
      </c>
      <c r="I19" s="131">
        <f t="shared" si="1"/>
        <v>9600</v>
      </c>
      <c r="J19" s="131">
        <f t="shared" si="1"/>
        <v>112540</v>
      </c>
      <c r="K19" s="131">
        <f t="shared" si="1"/>
        <v>13210</v>
      </c>
      <c r="L19" s="131">
        <f t="shared" si="1"/>
        <v>0</v>
      </c>
      <c r="M19" s="131">
        <f t="shared" si="1"/>
        <v>0</v>
      </c>
      <c r="N19" s="131">
        <f t="shared" si="1"/>
        <v>0</v>
      </c>
      <c r="O19" s="131">
        <f t="shared" si="1"/>
        <v>0</v>
      </c>
      <c r="P19" s="131">
        <f t="shared" si="1"/>
        <v>0</v>
      </c>
      <c r="Q19" s="131">
        <f t="shared" si="1"/>
        <v>0</v>
      </c>
      <c r="R19" s="131">
        <f t="shared" si="1"/>
        <v>74930</v>
      </c>
      <c r="S19" s="131">
        <f t="shared" si="1"/>
        <v>826660</v>
      </c>
      <c r="T19" s="131">
        <f t="shared" si="1"/>
        <v>22510</v>
      </c>
      <c r="U19" s="131">
        <f t="shared" si="1"/>
        <v>54690</v>
      </c>
      <c r="V19" s="131">
        <f t="shared" si="1"/>
        <v>1158460</v>
      </c>
      <c r="W19" s="131">
        <f t="shared" si="1"/>
        <v>93750</v>
      </c>
      <c r="X19" s="131">
        <f t="shared" si="1"/>
        <v>24290</v>
      </c>
      <c r="Y19" s="131">
        <f t="shared" si="1"/>
        <v>2050120</v>
      </c>
      <c r="Z19" s="131">
        <f t="shared" si="1"/>
        <v>100250</v>
      </c>
      <c r="AA19" s="131">
        <f t="shared" si="1"/>
        <v>23790</v>
      </c>
      <c r="AB19" s="131">
        <f t="shared" si="1"/>
        <v>161240</v>
      </c>
      <c r="AC19" s="131">
        <f t="shared" si="1"/>
        <v>20500</v>
      </c>
      <c r="AD19" s="131">
        <f t="shared" si="1"/>
        <v>94500</v>
      </c>
      <c r="AE19" s="131">
        <f t="shared" si="1"/>
        <v>152680</v>
      </c>
      <c r="AF19" s="131">
        <f t="shared" si="1"/>
        <v>16340660</v>
      </c>
    </row>
    <row r="21" spans="1:32" x14ac:dyDescent="0.35">
      <c r="A21" s="9" t="s">
        <v>448</v>
      </c>
      <c r="B21" s="128">
        <f>'Position Control'!G228</f>
        <v>2.5</v>
      </c>
      <c r="C21" s="63">
        <f>ROUNDUP('Position Control'!AO228,-1)</f>
        <v>154970</v>
      </c>
      <c r="D21" s="63">
        <f>ROUNDUP('Position Control'!AP228,-1)</f>
        <v>0</v>
      </c>
      <c r="E21" s="63">
        <f>ROUNDUP('Position Control'!AQ228,-1)-10</f>
        <v>2850</v>
      </c>
      <c r="F21" s="63">
        <f>ROUNDUP('Position Control'!AR228,-1)</f>
        <v>0</v>
      </c>
      <c r="G21" s="63">
        <f>ROUNDUP('Position Control'!AS228,-1)</f>
        <v>0</v>
      </c>
      <c r="H21" s="63">
        <f>ROUNDUP('Position Control'!AT228,-1)</f>
        <v>0</v>
      </c>
      <c r="I21" s="63">
        <f>ROUNDUP('Position Control'!AU228,-1)</f>
        <v>600</v>
      </c>
      <c r="J21" s="63">
        <f>ROUNDUP('Position Control'!AV228,-1)</f>
        <v>0</v>
      </c>
      <c r="K21" s="63">
        <f>ROUNDUP('Position Control'!AW228,-1)</f>
        <v>0</v>
      </c>
      <c r="L21" s="63">
        <f>ROUNDUP('Position Control'!AX228,-1)</f>
        <v>0</v>
      </c>
      <c r="M21" s="63">
        <f>ROUNDUP('Position Control'!AY228,-1)</f>
        <v>0</v>
      </c>
      <c r="N21" s="63">
        <f>ROUNDUP('Position Control'!AZ228,-1)</f>
        <v>0</v>
      </c>
      <c r="O21" s="63">
        <f>ROUNDUP('Position Control'!BA228,-1)</f>
        <v>0</v>
      </c>
      <c r="P21" s="63">
        <f>ROUNDUP('Position Control'!BB228,-1)</f>
        <v>0</v>
      </c>
      <c r="Q21" s="63">
        <f>ROUNDUP('Position Control'!BC228,-1)</f>
        <v>0</v>
      </c>
      <c r="R21" s="63">
        <f>ROUNDUP('Position Control'!BD228,-1)</f>
        <v>820</v>
      </c>
      <c r="S21" s="63">
        <f>ROUNDUP('Position Control'!BE228,-1)</f>
        <v>5000</v>
      </c>
      <c r="T21" s="63">
        <f>ROUNDUP('Position Control'!BF228,-1)</f>
        <v>380</v>
      </c>
      <c r="U21" s="63">
        <f>ROUNDUP('Position Control'!BG228,-1)</f>
        <v>1310</v>
      </c>
      <c r="V21" s="63">
        <f>ROUNDUP('Position Control'!BH228,-1)</f>
        <v>26130</v>
      </c>
      <c r="W21" s="63">
        <f>ROUNDUP('Position Control'!BI228,-1)</f>
        <v>1250</v>
      </c>
      <c r="X21" s="63">
        <f>ROUNDUP('Position Control'!BJ228,-1)</f>
        <v>440</v>
      </c>
      <c r="Y21" s="63">
        <f>ROUNDUP('Position Control'!BK228,-1)</f>
        <v>20330</v>
      </c>
      <c r="Z21" s="63">
        <f>ROUNDUP('Position Control'!BL228,-1)</f>
        <v>1040</v>
      </c>
      <c r="AA21" s="63">
        <f>ROUNDUP('Position Control'!BM228,-1)</f>
        <v>360</v>
      </c>
      <c r="AB21" s="63">
        <f>ROUNDUP('Position Control'!BN228,-1)</f>
        <v>1680</v>
      </c>
      <c r="AC21" s="63">
        <f>ROUNDUP('Position Control'!BO228,-1)</f>
        <v>210</v>
      </c>
      <c r="AD21" s="63">
        <f>ROUNDUP('Position Control'!BP228,-1)</f>
        <v>750</v>
      </c>
      <c r="AE21" s="63">
        <f>ROUNDUP('Position Control'!BQ228,-1)</f>
        <v>0</v>
      </c>
      <c r="AF21" s="63">
        <f>SUM(C21:P21)+SUM(R21:AE21)</f>
        <v>218120</v>
      </c>
    </row>
    <row r="22" spans="1:32" s="132" customFormat="1" x14ac:dyDescent="0.35">
      <c r="A22" s="132" t="s">
        <v>462</v>
      </c>
      <c r="B22" s="133">
        <f t="shared" ref="B22:AF22" si="2">SUBTOTAL(9,B21:B21)</f>
        <v>2.5</v>
      </c>
      <c r="C22" s="134">
        <f t="shared" si="2"/>
        <v>154970</v>
      </c>
      <c r="D22" s="134">
        <f t="shared" si="2"/>
        <v>0</v>
      </c>
      <c r="E22" s="134">
        <f t="shared" si="2"/>
        <v>2850</v>
      </c>
      <c r="F22" s="134">
        <f t="shared" si="2"/>
        <v>0</v>
      </c>
      <c r="G22" s="134">
        <f t="shared" si="2"/>
        <v>0</v>
      </c>
      <c r="H22" s="134">
        <f t="shared" si="2"/>
        <v>0</v>
      </c>
      <c r="I22" s="134">
        <f t="shared" si="2"/>
        <v>600</v>
      </c>
      <c r="J22" s="134">
        <f t="shared" si="2"/>
        <v>0</v>
      </c>
      <c r="K22" s="134">
        <f t="shared" si="2"/>
        <v>0</v>
      </c>
      <c r="L22" s="134">
        <f t="shared" si="2"/>
        <v>0</v>
      </c>
      <c r="M22" s="134">
        <f t="shared" si="2"/>
        <v>0</v>
      </c>
      <c r="N22" s="134">
        <f t="shared" si="2"/>
        <v>0</v>
      </c>
      <c r="O22" s="134">
        <f t="shared" si="2"/>
        <v>0</v>
      </c>
      <c r="P22" s="134">
        <f t="shared" si="2"/>
        <v>0</v>
      </c>
      <c r="Q22" s="134">
        <f t="shared" si="2"/>
        <v>0</v>
      </c>
      <c r="R22" s="134">
        <f t="shared" si="2"/>
        <v>820</v>
      </c>
      <c r="S22" s="134">
        <f t="shared" si="2"/>
        <v>5000</v>
      </c>
      <c r="T22" s="134">
        <f t="shared" si="2"/>
        <v>380</v>
      </c>
      <c r="U22" s="134">
        <f t="shared" si="2"/>
        <v>1310</v>
      </c>
      <c r="V22" s="134">
        <f t="shared" si="2"/>
        <v>26130</v>
      </c>
      <c r="W22" s="134">
        <f t="shared" si="2"/>
        <v>1250</v>
      </c>
      <c r="X22" s="134">
        <f t="shared" si="2"/>
        <v>440</v>
      </c>
      <c r="Y22" s="134">
        <f t="shared" si="2"/>
        <v>20330</v>
      </c>
      <c r="Z22" s="134">
        <f t="shared" si="2"/>
        <v>1040</v>
      </c>
      <c r="AA22" s="134">
        <f t="shared" si="2"/>
        <v>360</v>
      </c>
      <c r="AB22" s="134">
        <f t="shared" si="2"/>
        <v>1680</v>
      </c>
      <c r="AC22" s="134">
        <f t="shared" si="2"/>
        <v>210</v>
      </c>
      <c r="AD22" s="134">
        <f t="shared" si="2"/>
        <v>750</v>
      </c>
      <c r="AE22" s="134">
        <f t="shared" si="2"/>
        <v>0</v>
      </c>
      <c r="AF22" s="134">
        <f t="shared" si="2"/>
        <v>218120</v>
      </c>
    </row>
    <row r="24" spans="1:32" x14ac:dyDescent="0.35">
      <c r="A24" s="9" t="s">
        <v>450</v>
      </c>
      <c r="B24" s="128">
        <f>'Position Control'!G234</f>
        <v>4</v>
      </c>
      <c r="C24" s="63">
        <f>ROUNDUP('Position Control'!AO234,-1)</f>
        <v>387990</v>
      </c>
      <c r="D24" s="63">
        <f>ROUNDUP('Position Control'!AP234,-1)</f>
        <v>0</v>
      </c>
      <c r="E24" s="63">
        <f>ROUNDUP('Position Control'!AQ234,-1)-10</f>
        <v>1500</v>
      </c>
      <c r="F24" s="63">
        <f>ROUNDUP('Position Control'!AR234,-1)</f>
        <v>0</v>
      </c>
      <c r="G24" s="63">
        <f>ROUNDUP('Position Control'!AS234,-1)</f>
        <v>0</v>
      </c>
      <c r="H24" s="63">
        <f>ROUNDUP('Position Control'!AT234,-1)</f>
        <v>0</v>
      </c>
      <c r="I24" s="63">
        <f>ROUNDUP('Position Control'!AU234,-1)</f>
        <v>1800</v>
      </c>
      <c r="J24" s="63">
        <f>ROUNDUP('Position Control'!AV234,-1)</f>
        <v>0</v>
      </c>
      <c r="K24" s="63">
        <f>ROUNDUP('Position Control'!AW234,-1)</f>
        <v>0</v>
      </c>
      <c r="L24" s="63">
        <f>ROUNDUP('Position Control'!AX234,-1)</f>
        <v>0</v>
      </c>
      <c r="M24" s="63">
        <f>ROUNDUP('Position Control'!AY234,-1)</f>
        <v>0</v>
      </c>
      <c r="N24" s="63">
        <f>ROUNDUP('Position Control'!AZ234,-1)</f>
        <v>0</v>
      </c>
      <c r="O24" s="63">
        <f>ROUNDUP('Position Control'!BA234,-1)</f>
        <v>0</v>
      </c>
      <c r="P24" s="63">
        <f>ROUNDUP('Position Control'!BB234,-1)</f>
        <v>0</v>
      </c>
      <c r="Q24" s="63">
        <f>ROUNDUP('Position Control'!BC234,-1)</f>
        <v>0</v>
      </c>
      <c r="R24" s="63">
        <f>ROUNDUP('Position Control'!BD234,-1)</f>
        <v>980</v>
      </c>
      <c r="S24" s="63">
        <f>ROUNDUP('Position Control'!BE234,-1)</f>
        <v>0</v>
      </c>
      <c r="T24" s="63">
        <f>ROUNDUP('Position Control'!BF234,-1)</f>
        <v>640</v>
      </c>
      <c r="U24" s="63">
        <f>ROUNDUP('Position Control'!BG234,-1)</f>
        <v>1780</v>
      </c>
      <c r="V24" s="63">
        <f>ROUNDUP('Position Control'!BH234,-1)</f>
        <v>45500</v>
      </c>
      <c r="W24" s="63">
        <f>ROUNDUP('Position Control'!BI234,-1)</f>
        <v>3000</v>
      </c>
      <c r="X24" s="63">
        <f>ROUNDUP('Position Control'!BJ234,-1)</f>
        <v>750</v>
      </c>
      <c r="Y24" s="63">
        <f>ROUNDUP('Position Control'!BK234,-1)</f>
        <v>65980</v>
      </c>
      <c r="Z24" s="63">
        <f>ROUNDUP('Position Control'!BL234,-1)</f>
        <v>410</v>
      </c>
      <c r="AA24" s="63">
        <f>ROUNDUP('Position Control'!BM234,-1)</f>
        <v>580</v>
      </c>
      <c r="AB24" s="63">
        <f>ROUNDUP('Position Control'!BN234,-1)</f>
        <v>5680</v>
      </c>
      <c r="AC24" s="63">
        <f>ROUNDUP('Position Control'!BO234,-1)</f>
        <v>710</v>
      </c>
      <c r="AD24" s="63">
        <f>ROUNDUP('Position Control'!BP234,-1)</f>
        <v>0</v>
      </c>
      <c r="AE24" s="63">
        <f>ROUNDUP('Position Control'!BQ234,-1)</f>
        <v>0</v>
      </c>
      <c r="AF24" s="63">
        <f>SUM(C24:P24)+SUM(R24:AE24)</f>
        <v>517300</v>
      </c>
    </row>
    <row r="25" spans="1:32" x14ac:dyDescent="0.35">
      <c r="A25" s="9" t="s">
        <v>452</v>
      </c>
      <c r="B25" s="128">
        <f>'Position Control'!G244</f>
        <v>7.5</v>
      </c>
      <c r="C25" s="63">
        <f>ROUNDUP('Position Control'!AO244,-1)</f>
        <v>405580</v>
      </c>
      <c r="D25" s="63">
        <f>ROUNDUP('Position Control'!AP244,-1)</f>
        <v>0</v>
      </c>
      <c r="E25" s="63">
        <f>ROUNDUP('Position Control'!AQ244,-1)-10</f>
        <v>5400</v>
      </c>
      <c r="F25" s="63">
        <f>ROUNDUP('Position Control'!AR244,-1)</f>
        <v>0</v>
      </c>
      <c r="G25" s="63">
        <f>ROUNDUP('Position Control'!AS244,-1)</f>
        <v>0</v>
      </c>
      <c r="H25" s="63">
        <f>ROUNDUP('Position Control'!AT244,-1)</f>
        <v>0</v>
      </c>
      <c r="I25" s="63">
        <f>ROUNDUP('Position Control'!AU244,-1)</f>
        <v>300</v>
      </c>
      <c r="J25" s="63">
        <f>ROUNDUP('Position Control'!AV244,-1)</f>
        <v>10050</v>
      </c>
      <c r="K25" s="63">
        <f>ROUNDUP('Position Control'!AW244,-1)</f>
        <v>0</v>
      </c>
      <c r="L25" s="63">
        <f>ROUNDUP('Position Control'!AX244,-1)</f>
        <v>0</v>
      </c>
      <c r="M25" s="63">
        <f>ROUNDUP('Position Control'!AY244,-1)</f>
        <v>0</v>
      </c>
      <c r="N25" s="63">
        <f>ROUNDUP('Position Control'!AZ244,-1)</f>
        <v>0</v>
      </c>
      <c r="O25" s="63">
        <f>ROUNDUP('Position Control'!BA244,-1)</f>
        <v>0</v>
      </c>
      <c r="P25" s="63">
        <f>ROUNDUP('Position Control'!BB244,-1)</f>
        <v>0</v>
      </c>
      <c r="Q25" s="63">
        <f>ROUNDUP('Position Control'!BC244,-1)</f>
        <v>0</v>
      </c>
      <c r="R25" s="63">
        <f>ROUNDUP('Position Control'!BD244,-1)</f>
        <v>3010</v>
      </c>
      <c r="S25" s="63">
        <f>ROUNDUP('Position Control'!BE244,-1)</f>
        <v>45000</v>
      </c>
      <c r="T25" s="63">
        <f>ROUNDUP('Position Control'!BF244,-1)</f>
        <v>960</v>
      </c>
      <c r="U25" s="63">
        <f>ROUNDUP('Position Control'!BG244,-1)</f>
        <v>2780</v>
      </c>
      <c r="V25" s="63">
        <f>ROUNDUP('Position Control'!BH244,-1)</f>
        <v>46990</v>
      </c>
      <c r="W25" s="63">
        <f>ROUNDUP('Position Control'!BI244,-1)</f>
        <v>5000</v>
      </c>
      <c r="X25" s="63">
        <f>ROUNDUP('Position Control'!BJ244,-1)</f>
        <v>1520</v>
      </c>
      <c r="Y25" s="63">
        <f>ROUNDUP('Position Control'!BK244,-1)</f>
        <v>74600</v>
      </c>
      <c r="Z25" s="63">
        <f>ROUNDUP('Position Control'!BL244,-1)</f>
        <v>4440</v>
      </c>
      <c r="AA25" s="63">
        <f>ROUNDUP('Position Control'!BM244,-1)</f>
        <v>1230</v>
      </c>
      <c r="AB25" s="63">
        <f>ROUNDUP('Position Control'!BN244,-1)</f>
        <v>5770</v>
      </c>
      <c r="AC25" s="63">
        <f>ROUNDUP('Position Control'!BO244,-1)</f>
        <v>720</v>
      </c>
      <c r="AD25" s="63">
        <f>ROUNDUP('Position Control'!BP244,-1)</f>
        <v>4500</v>
      </c>
      <c r="AE25" s="63">
        <f>ROUNDUP('Position Control'!BQ244,-1)</f>
        <v>140</v>
      </c>
      <c r="AF25" s="63">
        <f>SUM(C25:P25)+SUM(R25:AE25)</f>
        <v>617990</v>
      </c>
    </row>
    <row r="26" spans="1:32" x14ac:dyDescent="0.35">
      <c r="A26" s="9" t="s">
        <v>453</v>
      </c>
      <c r="B26" s="128">
        <f>'Position Control'!G251</f>
        <v>4.5</v>
      </c>
      <c r="C26" s="63">
        <f>ROUNDUP('Position Control'!AO251,-1)</f>
        <v>228220</v>
      </c>
      <c r="D26" s="63">
        <f>ROUNDUP('Position Control'!AP251,-1)</f>
        <v>0</v>
      </c>
      <c r="E26" s="63">
        <f>ROUNDUP('Position Control'!AQ251,-1)-10</f>
        <v>3000</v>
      </c>
      <c r="F26" s="63">
        <f>ROUNDUP('Position Control'!AR251,-1)</f>
        <v>0</v>
      </c>
      <c r="G26" s="63">
        <f>ROUNDUP('Position Control'!AS251,-1)</f>
        <v>0</v>
      </c>
      <c r="H26" s="63">
        <f>ROUNDUP('Position Control'!AT251,-1)</f>
        <v>0</v>
      </c>
      <c r="I26" s="63">
        <f>ROUNDUP('Position Control'!AU251,-1)</f>
        <v>300</v>
      </c>
      <c r="J26" s="63">
        <f>ROUNDUP('Position Control'!AV251,-1)</f>
        <v>7040</v>
      </c>
      <c r="K26" s="63">
        <f>ROUNDUP('Position Control'!AW251,-1)</f>
        <v>0</v>
      </c>
      <c r="L26" s="63">
        <f>ROUNDUP('Position Control'!AX251,-1)</f>
        <v>0</v>
      </c>
      <c r="M26" s="63">
        <f>ROUNDUP('Position Control'!AY251,-1)</f>
        <v>0</v>
      </c>
      <c r="N26" s="63">
        <f>ROUNDUP('Position Control'!AZ251,-1)</f>
        <v>0</v>
      </c>
      <c r="O26" s="63">
        <f>ROUNDUP('Position Control'!BA251,-1)</f>
        <v>0</v>
      </c>
      <c r="P26" s="63">
        <f>ROUNDUP('Position Control'!BB251,-1)</f>
        <v>0</v>
      </c>
      <c r="Q26" s="63">
        <f>ROUNDUP('Position Control'!BC251,-1)</f>
        <v>0</v>
      </c>
      <c r="R26" s="63">
        <f>ROUNDUP('Position Control'!BD251,-1)</f>
        <v>790</v>
      </c>
      <c r="S26" s="63">
        <f>ROUNDUP('Position Control'!BE251,-1)</f>
        <v>25000</v>
      </c>
      <c r="T26" s="63">
        <f>ROUNDUP('Position Control'!BF251,-1)</f>
        <v>540</v>
      </c>
      <c r="U26" s="63">
        <f>ROUNDUP('Position Control'!BG251,-1)</f>
        <v>1640</v>
      </c>
      <c r="V26" s="63">
        <f>ROUNDUP('Position Control'!BH251,-1)</f>
        <v>39350</v>
      </c>
      <c r="W26" s="63">
        <f>ROUNDUP('Position Control'!BI251,-1)</f>
        <v>3500</v>
      </c>
      <c r="X26" s="63">
        <f>ROUNDUP('Position Control'!BJ251,-1)</f>
        <v>720</v>
      </c>
      <c r="Y26" s="63">
        <f>ROUNDUP('Position Control'!BK251,-1)</f>
        <v>40410</v>
      </c>
      <c r="Z26" s="63">
        <f>ROUNDUP('Position Control'!BL251,-1)</f>
        <v>2400</v>
      </c>
      <c r="AA26" s="63">
        <f>ROUNDUP('Position Control'!BM251,-1)</f>
        <v>770</v>
      </c>
      <c r="AB26" s="63">
        <f>ROUNDUP('Position Control'!BN251,-1)</f>
        <v>3120</v>
      </c>
      <c r="AC26" s="63">
        <f>ROUNDUP('Position Control'!BO251,-1)</f>
        <v>390</v>
      </c>
      <c r="AD26" s="63">
        <f>ROUNDUP('Position Control'!BP251,-1)</f>
        <v>0</v>
      </c>
      <c r="AE26" s="63">
        <f>ROUNDUP('Position Control'!BQ251,-1)</f>
        <v>0</v>
      </c>
      <c r="AF26" s="63">
        <f>SUM(C26:P26)+SUM(R26:AE26)</f>
        <v>357190</v>
      </c>
    </row>
    <row r="27" spans="1:32" x14ac:dyDescent="0.35">
      <c r="A27" s="9" t="s">
        <v>454</v>
      </c>
      <c r="B27" s="128">
        <f>'Position Control'!G259</f>
        <v>6</v>
      </c>
      <c r="C27" s="63">
        <f>ROUNDUP('Position Control'!AO259,-1)</f>
        <v>242460</v>
      </c>
      <c r="D27" s="63">
        <f>ROUNDUP('Position Control'!AP259,-1)</f>
        <v>0</v>
      </c>
      <c r="E27" s="63">
        <f>ROUNDUP('Position Control'!AQ259,-1)</f>
        <v>0</v>
      </c>
      <c r="F27" s="63">
        <f>ROUNDUP('Position Control'!AR259,-1)</f>
        <v>0</v>
      </c>
      <c r="G27" s="63">
        <f>ROUNDUP('Position Control'!AS259,-1)</f>
        <v>0</v>
      </c>
      <c r="H27" s="63">
        <f>ROUNDUP('Position Control'!AT259,-1)</f>
        <v>0</v>
      </c>
      <c r="I27" s="63">
        <f>ROUNDUP('Position Control'!AU259,-1)</f>
        <v>0</v>
      </c>
      <c r="J27" s="63">
        <f>ROUNDUP('Position Control'!AV259,-1)</f>
        <v>0</v>
      </c>
      <c r="K27" s="63">
        <f>ROUNDUP('Position Control'!AW259,-1)</f>
        <v>0</v>
      </c>
      <c r="L27" s="63">
        <f>ROUNDUP('Position Control'!AX259,-1)</f>
        <v>0</v>
      </c>
      <c r="M27" s="63">
        <f>ROUNDUP('Position Control'!AY259,-1)</f>
        <v>0</v>
      </c>
      <c r="N27" s="63">
        <f>ROUNDUP('Position Control'!AZ259,-1)</f>
        <v>0</v>
      </c>
      <c r="O27" s="63">
        <f>ROUNDUP('Position Control'!BA259,-1)</f>
        <v>0</v>
      </c>
      <c r="P27" s="63">
        <f>ROUNDUP('Position Control'!BB259,-1)</f>
        <v>0</v>
      </c>
      <c r="Q27" s="63">
        <f>ROUNDUP('Position Control'!BC259,-1)</f>
        <v>0</v>
      </c>
      <c r="R27" s="63">
        <f>ROUNDUP('Position Control'!BD259,-1)</f>
        <v>2020</v>
      </c>
      <c r="S27" s="63">
        <f>ROUNDUP('Position Control'!BE259,-1)</f>
        <v>1900</v>
      </c>
      <c r="T27" s="63">
        <f>ROUNDUP('Position Control'!BF259,-1)</f>
        <v>590</v>
      </c>
      <c r="U27" s="63">
        <f>ROUNDUP('Position Control'!BG259,-1)</f>
        <v>1930</v>
      </c>
      <c r="V27" s="63">
        <f>ROUNDUP('Position Control'!BH259,-1)</f>
        <v>34130</v>
      </c>
      <c r="W27" s="63">
        <f>ROUNDUP('Position Control'!BI259,-1)</f>
        <v>4500</v>
      </c>
      <c r="X27" s="63">
        <f>ROUNDUP('Position Control'!BJ259,-1)</f>
        <v>720</v>
      </c>
      <c r="Y27" s="63">
        <f>ROUNDUP('Position Control'!BK259,-1)</f>
        <v>41210</v>
      </c>
      <c r="Z27" s="63">
        <f>ROUNDUP('Position Control'!BL259,-1)</f>
        <v>250</v>
      </c>
      <c r="AA27" s="63">
        <f>ROUNDUP('Position Control'!BM259,-1)</f>
        <v>720</v>
      </c>
      <c r="AB27" s="63">
        <f>ROUNDUP('Position Control'!BN259,-1)</f>
        <v>3520</v>
      </c>
      <c r="AC27" s="63">
        <f>ROUNDUP('Position Control'!BO259,-1)</f>
        <v>440</v>
      </c>
      <c r="AD27" s="63">
        <f>ROUNDUP('Position Control'!BP259,-1)</f>
        <v>1750</v>
      </c>
      <c r="AE27" s="63">
        <f>ROUNDUP('Position Control'!BQ259,-1)</f>
        <v>240</v>
      </c>
      <c r="AF27" s="63">
        <f>SUM(C27:P27)+SUM(R27:AE27)</f>
        <v>336380</v>
      </c>
    </row>
    <row r="28" spans="1:32" s="135" customFormat="1" x14ac:dyDescent="0.35">
      <c r="A28" s="135" t="s">
        <v>463</v>
      </c>
      <c r="B28" s="136">
        <f t="shared" ref="B28:AF28" si="3">SUBTOTAL(9,B24:B27)</f>
        <v>22</v>
      </c>
      <c r="C28" s="137">
        <f t="shared" si="3"/>
        <v>1264250</v>
      </c>
      <c r="D28" s="137">
        <f t="shared" si="3"/>
        <v>0</v>
      </c>
      <c r="E28" s="137">
        <f t="shared" si="3"/>
        <v>9900</v>
      </c>
      <c r="F28" s="137">
        <f t="shared" si="3"/>
        <v>0</v>
      </c>
      <c r="G28" s="137">
        <f t="shared" si="3"/>
        <v>0</v>
      </c>
      <c r="H28" s="137">
        <f t="shared" si="3"/>
        <v>0</v>
      </c>
      <c r="I28" s="137">
        <f t="shared" si="3"/>
        <v>2400</v>
      </c>
      <c r="J28" s="137">
        <f t="shared" si="3"/>
        <v>17090</v>
      </c>
      <c r="K28" s="137">
        <f t="shared" si="3"/>
        <v>0</v>
      </c>
      <c r="L28" s="137">
        <f t="shared" si="3"/>
        <v>0</v>
      </c>
      <c r="M28" s="137">
        <f t="shared" si="3"/>
        <v>0</v>
      </c>
      <c r="N28" s="137">
        <f t="shared" si="3"/>
        <v>0</v>
      </c>
      <c r="O28" s="137">
        <f t="shared" si="3"/>
        <v>0</v>
      </c>
      <c r="P28" s="137">
        <f t="shared" si="3"/>
        <v>0</v>
      </c>
      <c r="Q28" s="137">
        <f t="shared" si="3"/>
        <v>0</v>
      </c>
      <c r="R28" s="137">
        <f t="shared" si="3"/>
        <v>6800</v>
      </c>
      <c r="S28" s="137">
        <f t="shared" si="3"/>
        <v>71900</v>
      </c>
      <c r="T28" s="137">
        <f t="shared" si="3"/>
        <v>2730</v>
      </c>
      <c r="U28" s="137">
        <f t="shared" si="3"/>
        <v>8130</v>
      </c>
      <c r="V28" s="137">
        <f t="shared" si="3"/>
        <v>165970</v>
      </c>
      <c r="W28" s="137">
        <f t="shared" si="3"/>
        <v>16000</v>
      </c>
      <c r="X28" s="137">
        <f t="shared" si="3"/>
        <v>3710</v>
      </c>
      <c r="Y28" s="137">
        <f t="shared" si="3"/>
        <v>222200</v>
      </c>
      <c r="Z28" s="137">
        <f t="shared" si="3"/>
        <v>7500</v>
      </c>
      <c r="AA28" s="137">
        <f t="shared" si="3"/>
        <v>3300</v>
      </c>
      <c r="AB28" s="137">
        <f t="shared" si="3"/>
        <v>18090</v>
      </c>
      <c r="AC28" s="137">
        <f t="shared" si="3"/>
        <v>2260</v>
      </c>
      <c r="AD28" s="137">
        <f t="shared" si="3"/>
        <v>6250</v>
      </c>
      <c r="AE28" s="137">
        <f t="shared" si="3"/>
        <v>380</v>
      </c>
      <c r="AF28" s="137">
        <f t="shared" si="3"/>
        <v>1828860</v>
      </c>
    </row>
    <row r="30" spans="1:32" s="138" customFormat="1" x14ac:dyDescent="0.35">
      <c r="A30" s="138" t="s">
        <v>455</v>
      </c>
      <c r="B30" s="139">
        <f>'Position Control'!G265</f>
        <v>4</v>
      </c>
      <c r="C30" s="140">
        <f>ROUNDUP('Position Control'!AO265,-1)</f>
        <v>201650</v>
      </c>
      <c r="D30" s="140">
        <f>ROUNDUP('Position Control'!AP265,-1)</f>
        <v>0</v>
      </c>
      <c r="E30" s="140">
        <f>ROUNDUP('Position Control'!AQ265,-1)-10</f>
        <v>1800</v>
      </c>
      <c r="F30" s="140">
        <f>ROUNDUP('Position Control'!AR265,-1)</f>
        <v>0</v>
      </c>
      <c r="G30" s="140">
        <f>ROUNDUP('Position Control'!AS265,-1)</f>
        <v>0</v>
      </c>
      <c r="H30" s="140">
        <f>ROUNDUP('Position Control'!AT265,-1)</f>
        <v>0</v>
      </c>
      <c r="I30" s="140">
        <f>ROUNDUP('Position Control'!AU265,-1)</f>
        <v>600</v>
      </c>
      <c r="J30" s="140">
        <f>ROUNDUP('Position Control'!AV265,-1)</f>
        <v>4030</v>
      </c>
      <c r="K30" s="140">
        <f>ROUNDUP('Position Control'!AW265,-1)</f>
        <v>0</v>
      </c>
      <c r="L30" s="140">
        <f>ROUNDUP('Position Control'!AX265,-1)</f>
        <v>0</v>
      </c>
      <c r="M30" s="140">
        <f>ROUNDUP('Position Control'!AY265,-1)</f>
        <v>0</v>
      </c>
      <c r="N30" s="140">
        <f>ROUNDUP('Position Control'!AZ265,-1)</f>
        <v>0</v>
      </c>
      <c r="O30" s="140">
        <f>ROUNDUP('Position Control'!BA265,-1)</f>
        <v>0</v>
      </c>
      <c r="P30" s="140">
        <f>ROUNDUP('Position Control'!BB265,-1)</f>
        <v>0</v>
      </c>
      <c r="Q30" s="140">
        <f>ROUNDUP('Position Control'!BC265,-1)</f>
        <v>0</v>
      </c>
      <c r="R30" s="140">
        <f>ROUNDUP('Position Control'!BD265,-1)</f>
        <v>1210</v>
      </c>
      <c r="S30" s="140">
        <f>ROUNDUP('Position Control'!BE265,-1)</f>
        <v>5500</v>
      </c>
      <c r="T30" s="140">
        <f>ROUNDUP('Position Control'!BF265,-1)</f>
        <v>480</v>
      </c>
      <c r="U30" s="140">
        <f>ROUNDUP('Position Control'!BG265,-1)</f>
        <v>700</v>
      </c>
      <c r="V30" s="140">
        <f>ROUNDUP('Position Control'!BH265,-1)</f>
        <v>22360</v>
      </c>
      <c r="W30" s="140">
        <f>ROUNDUP('Position Control'!BI265,-1)</f>
        <v>3500</v>
      </c>
      <c r="X30" s="140">
        <f>ROUNDUP('Position Control'!BJ265,-1)</f>
        <v>800</v>
      </c>
      <c r="Y30" s="140">
        <f>ROUNDUP('Position Control'!BK265,-1)</f>
        <v>36010</v>
      </c>
      <c r="Z30" s="140">
        <f>ROUNDUP('Position Control'!BL265,-1)</f>
        <v>2580</v>
      </c>
      <c r="AA30" s="140">
        <f>ROUNDUP('Position Control'!BM265,-1)</f>
        <v>650</v>
      </c>
      <c r="AB30" s="140">
        <f>ROUNDUP('Position Control'!BN265,-1)</f>
        <v>3020</v>
      </c>
      <c r="AC30" s="140">
        <f>ROUNDUP('Position Control'!BO265,-1)</f>
        <v>380</v>
      </c>
      <c r="AD30" s="140">
        <f>ROUNDUP('Position Control'!BP265,-1)</f>
        <v>1500</v>
      </c>
      <c r="AE30" s="140">
        <f>ROUNDUP('Position Control'!BQ265,-1)</f>
        <v>0</v>
      </c>
      <c r="AF30" s="140">
        <f>SUM(C30:P30)+SUM(R30:AE30)</f>
        <v>286770</v>
      </c>
    </row>
    <row r="32" spans="1:32" x14ac:dyDescent="0.35">
      <c r="A32" s="9" t="s">
        <v>464</v>
      </c>
    </row>
    <row r="33" spans="1:32" x14ac:dyDescent="0.35">
      <c r="A33" s="141" t="s">
        <v>465</v>
      </c>
      <c r="C33" s="63">
        <f t="shared" ref="C33:AF33" si="4">C19</f>
        <v>11103210</v>
      </c>
      <c r="D33" s="63">
        <f t="shared" si="4"/>
        <v>7200</v>
      </c>
      <c r="E33" s="63">
        <f t="shared" si="4"/>
        <v>146410</v>
      </c>
      <c r="F33" s="63">
        <f t="shared" si="4"/>
        <v>44610</v>
      </c>
      <c r="G33" s="63">
        <f t="shared" si="4"/>
        <v>42500</v>
      </c>
      <c r="H33" s="63">
        <f t="shared" si="4"/>
        <v>3010</v>
      </c>
      <c r="I33" s="63">
        <f t="shared" si="4"/>
        <v>9600</v>
      </c>
      <c r="J33" s="63">
        <f t="shared" si="4"/>
        <v>112540</v>
      </c>
      <c r="K33" s="63">
        <f t="shared" si="4"/>
        <v>13210</v>
      </c>
      <c r="L33" s="63">
        <f t="shared" si="4"/>
        <v>0</v>
      </c>
      <c r="M33" s="63">
        <f t="shared" si="4"/>
        <v>0</v>
      </c>
      <c r="N33" s="63">
        <f t="shared" si="4"/>
        <v>0</v>
      </c>
      <c r="O33" s="63">
        <f t="shared" si="4"/>
        <v>0</v>
      </c>
      <c r="P33" s="63">
        <f t="shared" si="4"/>
        <v>0</v>
      </c>
      <c r="Q33" s="63">
        <f t="shared" si="4"/>
        <v>0</v>
      </c>
      <c r="R33" s="63">
        <f t="shared" si="4"/>
        <v>74930</v>
      </c>
      <c r="S33" s="63">
        <f t="shared" si="4"/>
        <v>826660</v>
      </c>
      <c r="T33" s="63">
        <f t="shared" si="4"/>
        <v>22510</v>
      </c>
      <c r="U33" s="63">
        <f t="shared" si="4"/>
        <v>54690</v>
      </c>
      <c r="V33" s="63">
        <f t="shared" si="4"/>
        <v>1158460</v>
      </c>
      <c r="W33" s="63">
        <f t="shared" si="4"/>
        <v>93750</v>
      </c>
      <c r="X33" s="63">
        <f t="shared" si="4"/>
        <v>24290</v>
      </c>
      <c r="Y33" s="63">
        <f t="shared" si="4"/>
        <v>2050120</v>
      </c>
      <c r="Z33" s="63">
        <f t="shared" si="4"/>
        <v>100250</v>
      </c>
      <c r="AA33" s="63">
        <f t="shared" si="4"/>
        <v>23790</v>
      </c>
      <c r="AB33" s="63">
        <f t="shared" si="4"/>
        <v>161240</v>
      </c>
      <c r="AC33" s="63">
        <f t="shared" si="4"/>
        <v>20500</v>
      </c>
      <c r="AD33" s="63">
        <f t="shared" si="4"/>
        <v>94500</v>
      </c>
      <c r="AE33" s="63">
        <f t="shared" si="4"/>
        <v>152680</v>
      </c>
      <c r="AF33" s="63">
        <f t="shared" si="4"/>
        <v>16340660</v>
      </c>
    </row>
    <row r="34" spans="1:32" x14ac:dyDescent="0.35">
      <c r="A34" s="141" t="s">
        <v>467</v>
      </c>
      <c r="C34" s="63">
        <f t="shared" ref="C34:AF34" si="5">C22</f>
        <v>154970</v>
      </c>
      <c r="D34" s="63">
        <f t="shared" si="5"/>
        <v>0</v>
      </c>
      <c r="E34" s="63">
        <f t="shared" si="5"/>
        <v>2850</v>
      </c>
      <c r="F34" s="63">
        <f t="shared" si="5"/>
        <v>0</v>
      </c>
      <c r="G34" s="63">
        <f t="shared" si="5"/>
        <v>0</v>
      </c>
      <c r="H34" s="63">
        <f t="shared" si="5"/>
        <v>0</v>
      </c>
      <c r="I34" s="63">
        <f t="shared" si="5"/>
        <v>600</v>
      </c>
      <c r="J34" s="63">
        <f t="shared" si="5"/>
        <v>0</v>
      </c>
      <c r="K34" s="63">
        <f t="shared" si="5"/>
        <v>0</v>
      </c>
      <c r="L34" s="63">
        <f t="shared" si="5"/>
        <v>0</v>
      </c>
      <c r="M34" s="63">
        <f t="shared" si="5"/>
        <v>0</v>
      </c>
      <c r="N34" s="63">
        <f t="shared" si="5"/>
        <v>0</v>
      </c>
      <c r="O34" s="63">
        <f t="shared" si="5"/>
        <v>0</v>
      </c>
      <c r="P34" s="63">
        <f t="shared" si="5"/>
        <v>0</v>
      </c>
      <c r="Q34" s="63">
        <f t="shared" si="5"/>
        <v>0</v>
      </c>
      <c r="R34" s="63">
        <f t="shared" si="5"/>
        <v>820</v>
      </c>
      <c r="S34" s="63">
        <f t="shared" si="5"/>
        <v>5000</v>
      </c>
      <c r="T34" s="63">
        <f t="shared" si="5"/>
        <v>380</v>
      </c>
      <c r="U34" s="63">
        <f t="shared" si="5"/>
        <v>1310</v>
      </c>
      <c r="V34" s="63">
        <f t="shared" si="5"/>
        <v>26130</v>
      </c>
      <c r="W34" s="63">
        <f t="shared" si="5"/>
        <v>1250</v>
      </c>
      <c r="X34" s="63">
        <f t="shared" si="5"/>
        <v>440</v>
      </c>
      <c r="Y34" s="63">
        <f t="shared" si="5"/>
        <v>20330</v>
      </c>
      <c r="Z34" s="63">
        <f t="shared" si="5"/>
        <v>1040</v>
      </c>
      <c r="AA34" s="63">
        <f t="shared" si="5"/>
        <v>360</v>
      </c>
      <c r="AB34" s="63">
        <f t="shared" si="5"/>
        <v>1680</v>
      </c>
      <c r="AC34" s="63">
        <f t="shared" si="5"/>
        <v>210</v>
      </c>
      <c r="AD34" s="63">
        <f t="shared" si="5"/>
        <v>750</v>
      </c>
      <c r="AE34" s="63">
        <f t="shared" si="5"/>
        <v>0</v>
      </c>
      <c r="AF34" s="63">
        <f t="shared" si="5"/>
        <v>218120</v>
      </c>
    </row>
    <row r="35" spans="1:32" x14ac:dyDescent="0.35">
      <c r="A35" s="141" t="s">
        <v>468</v>
      </c>
      <c r="C35" s="63">
        <f t="shared" ref="C35:AF35" si="6">C28</f>
        <v>1264250</v>
      </c>
      <c r="D35" s="63">
        <f t="shared" si="6"/>
        <v>0</v>
      </c>
      <c r="E35" s="63">
        <f t="shared" si="6"/>
        <v>9900</v>
      </c>
      <c r="F35" s="63">
        <f t="shared" si="6"/>
        <v>0</v>
      </c>
      <c r="G35" s="63">
        <f t="shared" si="6"/>
        <v>0</v>
      </c>
      <c r="H35" s="63">
        <f t="shared" si="6"/>
        <v>0</v>
      </c>
      <c r="I35" s="63">
        <f t="shared" si="6"/>
        <v>2400</v>
      </c>
      <c r="J35" s="63">
        <f t="shared" si="6"/>
        <v>17090</v>
      </c>
      <c r="K35" s="63">
        <f t="shared" si="6"/>
        <v>0</v>
      </c>
      <c r="L35" s="63">
        <f t="shared" si="6"/>
        <v>0</v>
      </c>
      <c r="M35" s="63">
        <f t="shared" si="6"/>
        <v>0</v>
      </c>
      <c r="N35" s="63">
        <f t="shared" si="6"/>
        <v>0</v>
      </c>
      <c r="O35" s="63">
        <f t="shared" si="6"/>
        <v>0</v>
      </c>
      <c r="P35" s="63">
        <f t="shared" si="6"/>
        <v>0</v>
      </c>
      <c r="Q35" s="63">
        <f t="shared" si="6"/>
        <v>0</v>
      </c>
      <c r="R35" s="63">
        <f t="shared" si="6"/>
        <v>6800</v>
      </c>
      <c r="S35" s="63">
        <f t="shared" si="6"/>
        <v>71900</v>
      </c>
      <c r="T35" s="63">
        <f t="shared" si="6"/>
        <v>2730</v>
      </c>
      <c r="U35" s="63">
        <f t="shared" si="6"/>
        <v>8130</v>
      </c>
      <c r="V35" s="63">
        <f t="shared" si="6"/>
        <v>165970</v>
      </c>
      <c r="W35" s="63">
        <f t="shared" si="6"/>
        <v>16000</v>
      </c>
      <c r="X35" s="63">
        <f t="shared" si="6"/>
        <v>3710</v>
      </c>
      <c r="Y35" s="63">
        <f t="shared" si="6"/>
        <v>222200</v>
      </c>
      <c r="Z35" s="63">
        <f t="shared" si="6"/>
        <v>7500</v>
      </c>
      <c r="AA35" s="63">
        <f t="shared" si="6"/>
        <v>3300</v>
      </c>
      <c r="AB35" s="63">
        <f t="shared" si="6"/>
        <v>18090</v>
      </c>
      <c r="AC35" s="63">
        <f t="shared" si="6"/>
        <v>2260</v>
      </c>
      <c r="AD35" s="63">
        <f t="shared" si="6"/>
        <v>6250</v>
      </c>
      <c r="AE35" s="63">
        <f t="shared" si="6"/>
        <v>380</v>
      </c>
      <c r="AF35" s="63">
        <f t="shared" si="6"/>
        <v>1828860</v>
      </c>
    </row>
    <row r="36" spans="1:32" x14ac:dyDescent="0.35">
      <c r="A36" s="141" t="s">
        <v>469</v>
      </c>
      <c r="C36" s="63">
        <f t="shared" ref="C36:AF36" si="7">C30</f>
        <v>201650</v>
      </c>
      <c r="D36" s="63">
        <f t="shared" si="7"/>
        <v>0</v>
      </c>
      <c r="E36" s="63">
        <f t="shared" si="7"/>
        <v>1800</v>
      </c>
      <c r="F36" s="63">
        <f t="shared" si="7"/>
        <v>0</v>
      </c>
      <c r="G36" s="63">
        <f t="shared" si="7"/>
        <v>0</v>
      </c>
      <c r="H36" s="63">
        <f t="shared" si="7"/>
        <v>0</v>
      </c>
      <c r="I36" s="63">
        <f t="shared" si="7"/>
        <v>600</v>
      </c>
      <c r="J36" s="63">
        <f t="shared" si="7"/>
        <v>4030</v>
      </c>
      <c r="K36" s="63">
        <f t="shared" si="7"/>
        <v>0</v>
      </c>
      <c r="L36" s="63">
        <f t="shared" si="7"/>
        <v>0</v>
      </c>
      <c r="M36" s="63">
        <f t="shared" si="7"/>
        <v>0</v>
      </c>
      <c r="N36" s="63">
        <f t="shared" si="7"/>
        <v>0</v>
      </c>
      <c r="O36" s="63">
        <f t="shared" si="7"/>
        <v>0</v>
      </c>
      <c r="P36" s="63">
        <f t="shared" si="7"/>
        <v>0</v>
      </c>
      <c r="Q36" s="63">
        <f t="shared" si="7"/>
        <v>0</v>
      </c>
      <c r="R36" s="63">
        <f t="shared" si="7"/>
        <v>1210</v>
      </c>
      <c r="S36" s="63">
        <f t="shared" si="7"/>
        <v>5500</v>
      </c>
      <c r="T36" s="63">
        <f t="shared" si="7"/>
        <v>480</v>
      </c>
      <c r="U36" s="63">
        <f t="shared" si="7"/>
        <v>700</v>
      </c>
      <c r="V36" s="63">
        <f t="shared" si="7"/>
        <v>22360</v>
      </c>
      <c r="W36" s="63">
        <f t="shared" si="7"/>
        <v>3500</v>
      </c>
      <c r="X36" s="63">
        <f t="shared" si="7"/>
        <v>800</v>
      </c>
      <c r="Y36" s="63">
        <f t="shared" si="7"/>
        <v>36010</v>
      </c>
      <c r="Z36" s="63">
        <f t="shared" si="7"/>
        <v>2580</v>
      </c>
      <c r="AA36" s="63">
        <f t="shared" si="7"/>
        <v>650</v>
      </c>
      <c r="AB36" s="63">
        <f t="shared" si="7"/>
        <v>3020</v>
      </c>
      <c r="AC36" s="63">
        <f t="shared" si="7"/>
        <v>380</v>
      </c>
      <c r="AD36" s="63">
        <f t="shared" si="7"/>
        <v>1500</v>
      </c>
      <c r="AE36" s="63">
        <f t="shared" si="7"/>
        <v>0</v>
      </c>
      <c r="AF36" s="63">
        <f t="shared" si="7"/>
        <v>286770</v>
      </c>
    </row>
    <row r="37" spans="1:32" x14ac:dyDescent="0.35">
      <c r="A37" s="9" t="s">
        <v>470</v>
      </c>
      <c r="C37" s="142">
        <f t="shared" ref="C37:AF37" si="8">SUBTOTAL(9,C33:C36)</f>
        <v>12724080</v>
      </c>
      <c r="D37" s="142">
        <f t="shared" si="8"/>
        <v>7200</v>
      </c>
      <c r="E37" s="142">
        <f t="shared" si="8"/>
        <v>160960</v>
      </c>
      <c r="F37" s="142">
        <f t="shared" si="8"/>
        <v>44610</v>
      </c>
      <c r="G37" s="142">
        <f t="shared" si="8"/>
        <v>42500</v>
      </c>
      <c r="H37" s="142">
        <f t="shared" si="8"/>
        <v>3010</v>
      </c>
      <c r="I37" s="142">
        <f t="shared" si="8"/>
        <v>13200</v>
      </c>
      <c r="J37" s="142">
        <f t="shared" si="8"/>
        <v>133660</v>
      </c>
      <c r="K37" s="142">
        <f t="shared" si="8"/>
        <v>13210</v>
      </c>
      <c r="L37" s="142">
        <f t="shared" si="8"/>
        <v>0</v>
      </c>
      <c r="M37" s="142">
        <f t="shared" si="8"/>
        <v>0</v>
      </c>
      <c r="N37" s="142">
        <f t="shared" si="8"/>
        <v>0</v>
      </c>
      <c r="O37" s="142">
        <f t="shared" si="8"/>
        <v>0</v>
      </c>
      <c r="P37" s="142">
        <f t="shared" si="8"/>
        <v>0</v>
      </c>
      <c r="Q37" s="142">
        <f t="shared" si="8"/>
        <v>0</v>
      </c>
      <c r="R37" s="142">
        <f t="shared" si="8"/>
        <v>83760</v>
      </c>
      <c r="S37" s="142">
        <f t="shared" si="8"/>
        <v>909060</v>
      </c>
      <c r="T37" s="142">
        <f t="shared" si="8"/>
        <v>26100</v>
      </c>
      <c r="U37" s="142">
        <f t="shared" si="8"/>
        <v>64830</v>
      </c>
      <c r="V37" s="142">
        <f t="shared" si="8"/>
        <v>1372920</v>
      </c>
      <c r="W37" s="142">
        <f t="shared" si="8"/>
        <v>114500</v>
      </c>
      <c r="X37" s="142">
        <f t="shared" si="8"/>
        <v>29240</v>
      </c>
      <c r="Y37" s="142">
        <f t="shared" si="8"/>
        <v>2328660</v>
      </c>
      <c r="Z37" s="142">
        <f t="shared" si="8"/>
        <v>111370</v>
      </c>
      <c r="AA37" s="142">
        <f t="shared" si="8"/>
        <v>28100</v>
      </c>
      <c r="AB37" s="142">
        <f t="shared" si="8"/>
        <v>184030</v>
      </c>
      <c r="AC37" s="142">
        <f t="shared" si="8"/>
        <v>23350</v>
      </c>
      <c r="AD37" s="142">
        <f t="shared" si="8"/>
        <v>103000</v>
      </c>
      <c r="AE37" s="142">
        <f t="shared" si="8"/>
        <v>153060</v>
      </c>
      <c r="AF37" s="142">
        <f t="shared" si="8"/>
        <v>18674410</v>
      </c>
    </row>
    <row r="40" spans="1:32" x14ac:dyDescent="0.35">
      <c r="A40" s="9" t="s">
        <v>471</v>
      </c>
    </row>
    <row r="41" spans="1:32" x14ac:dyDescent="0.35">
      <c r="A41" s="9" t="s">
        <v>465</v>
      </c>
      <c r="C41" s="63">
        <f t="shared" ref="C41:AE41" si="9">C33-C49</f>
        <v>-10583430</v>
      </c>
      <c r="D41" s="63">
        <f t="shared" si="9"/>
        <v>-9600</v>
      </c>
      <c r="E41" s="63">
        <f t="shared" si="9"/>
        <v>-154240</v>
      </c>
      <c r="F41" s="63">
        <f t="shared" si="9"/>
        <v>-30000</v>
      </c>
      <c r="G41" s="63">
        <f t="shared" si="9"/>
        <v>0</v>
      </c>
      <c r="H41" s="63">
        <f t="shared" si="9"/>
        <v>-3000</v>
      </c>
      <c r="I41" s="63">
        <f t="shared" si="9"/>
        <v>-5640</v>
      </c>
      <c r="J41" s="63">
        <f t="shared" si="9"/>
        <v>-15600</v>
      </c>
      <c r="K41" s="63">
        <f t="shared" si="9"/>
        <v>-10800</v>
      </c>
      <c r="L41" s="63">
        <f t="shared" si="9"/>
        <v>0</v>
      </c>
      <c r="M41" s="63">
        <f t="shared" si="9"/>
        <v>0</v>
      </c>
      <c r="N41" s="63">
        <f t="shared" si="9"/>
        <v>0</v>
      </c>
      <c r="O41" s="63">
        <f t="shared" si="9"/>
        <v>0</v>
      </c>
      <c r="P41" s="63">
        <f t="shared" si="9"/>
        <v>0</v>
      </c>
      <c r="Q41" s="63">
        <f t="shared" si="9"/>
        <v>0</v>
      </c>
      <c r="R41" s="63">
        <f t="shared" si="9"/>
        <v>-87860</v>
      </c>
      <c r="S41" s="63">
        <f t="shared" si="9"/>
        <v>-37000</v>
      </c>
      <c r="T41" s="63">
        <f t="shared" si="9"/>
        <v>-22300</v>
      </c>
      <c r="U41" s="63">
        <f t="shared" si="9"/>
        <v>-60510</v>
      </c>
      <c r="V41" s="63">
        <f t="shared" si="9"/>
        <v>-1236130</v>
      </c>
      <c r="W41" s="63">
        <f t="shared" si="9"/>
        <v>-91500</v>
      </c>
      <c r="X41" s="63">
        <f t="shared" si="9"/>
        <v>-24110</v>
      </c>
      <c r="Y41" s="63">
        <f t="shared" si="9"/>
        <v>-1794460</v>
      </c>
      <c r="Z41" s="63">
        <f t="shared" si="9"/>
        <v>-90200</v>
      </c>
      <c r="AA41" s="63">
        <f t="shared" si="9"/>
        <v>-24480</v>
      </c>
      <c r="AB41" s="63">
        <f t="shared" si="9"/>
        <v>-154230</v>
      </c>
      <c r="AC41" s="63">
        <f t="shared" si="9"/>
        <v>-22270</v>
      </c>
      <c r="AD41" s="63">
        <f t="shared" si="9"/>
        <v>-85500</v>
      </c>
      <c r="AE41" s="63">
        <f t="shared" si="9"/>
        <v>-1770</v>
      </c>
      <c r="AF41" s="121">
        <f>SUM(C41:K41)+SUM(Q41:AE41)</f>
        <v>-14544630</v>
      </c>
    </row>
    <row r="42" spans="1:32" x14ac:dyDescent="0.35">
      <c r="A42" s="9" t="s">
        <v>467</v>
      </c>
      <c r="C42" s="63">
        <f t="shared" ref="C42:AE42" si="10">C34-C51</f>
        <v>0</v>
      </c>
      <c r="D42" s="63">
        <f t="shared" si="10"/>
        <v>0</v>
      </c>
      <c r="E42" s="63">
        <f t="shared" si="10"/>
        <v>0</v>
      </c>
      <c r="F42" s="63">
        <f t="shared" si="10"/>
        <v>0</v>
      </c>
      <c r="G42" s="63">
        <f t="shared" si="10"/>
        <v>0</v>
      </c>
      <c r="H42" s="63">
        <f t="shared" si="10"/>
        <v>0</v>
      </c>
      <c r="I42" s="63">
        <f t="shared" si="10"/>
        <v>0</v>
      </c>
      <c r="J42" s="63">
        <f t="shared" si="10"/>
        <v>0</v>
      </c>
      <c r="K42" s="63">
        <f t="shared" si="10"/>
        <v>0</v>
      </c>
      <c r="L42" s="63">
        <f t="shared" si="10"/>
        <v>0</v>
      </c>
      <c r="M42" s="63">
        <f t="shared" si="10"/>
        <v>0</v>
      </c>
      <c r="N42" s="63">
        <f t="shared" si="10"/>
        <v>0</v>
      </c>
      <c r="O42" s="63">
        <f t="shared" si="10"/>
        <v>0</v>
      </c>
      <c r="P42" s="63">
        <f t="shared" si="10"/>
        <v>0</v>
      </c>
      <c r="Q42" s="63">
        <f t="shared" si="10"/>
        <v>0</v>
      </c>
      <c r="R42" s="63">
        <f t="shared" si="10"/>
        <v>0</v>
      </c>
      <c r="S42" s="63">
        <f t="shared" si="10"/>
        <v>0</v>
      </c>
      <c r="T42" s="63">
        <f t="shared" si="10"/>
        <v>0</v>
      </c>
      <c r="U42" s="63">
        <f t="shared" si="10"/>
        <v>0</v>
      </c>
      <c r="V42" s="63">
        <f t="shared" si="10"/>
        <v>660</v>
      </c>
      <c r="W42" s="63">
        <f t="shared" si="10"/>
        <v>0</v>
      </c>
      <c r="X42" s="63">
        <f t="shared" si="10"/>
        <v>0</v>
      </c>
      <c r="Y42" s="63">
        <f t="shared" si="10"/>
        <v>0</v>
      </c>
      <c r="Z42" s="63">
        <f t="shared" si="10"/>
        <v>0</v>
      </c>
      <c r="AA42" s="63">
        <f t="shared" si="10"/>
        <v>0</v>
      </c>
      <c r="AB42" s="63">
        <f t="shared" si="10"/>
        <v>0</v>
      </c>
      <c r="AC42" s="63">
        <f t="shared" si="10"/>
        <v>0</v>
      </c>
      <c r="AD42" s="63">
        <f t="shared" si="10"/>
        <v>0</v>
      </c>
      <c r="AE42" s="63">
        <f t="shared" si="10"/>
        <v>0</v>
      </c>
      <c r="AF42" s="121">
        <f>SUM(C42:K42)+SUM(Q42:AE42)</f>
        <v>660</v>
      </c>
    </row>
    <row r="43" spans="1:32" x14ac:dyDescent="0.35">
      <c r="A43" s="9" t="s">
        <v>468</v>
      </c>
      <c r="C43" s="63">
        <f t="shared" ref="C43:AE43" si="11">C35-C52</f>
        <v>-664540</v>
      </c>
      <c r="D43" s="63">
        <f t="shared" si="11"/>
        <v>0</v>
      </c>
      <c r="E43" s="63">
        <f t="shared" si="11"/>
        <v>-2100</v>
      </c>
      <c r="F43" s="63">
        <f t="shared" si="11"/>
        <v>0</v>
      </c>
      <c r="G43" s="63">
        <f t="shared" si="11"/>
        <v>0</v>
      </c>
      <c r="H43" s="63">
        <f t="shared" si="11"/>
        <v>0</v>
      </c>
      <c r="I43" s="63">
        <f t="shared" si="11"/>
        <v>-600</v>
      </c>
      <c r="J43" s="63">
        <f t="shared" si="11"/>
        <v>0</v>
      </c>
      <c r="K43" s="63">
        <f t="shared" si="11"/>
        <v>0</v>
      </c>
      <c r="L43" s="63">
        <f t="shared" si="11"/>
        <v>0</v>
      </c>
      <c r="M43" s="63">
        <f t="shared" si="11"/>
        <v>0</v>
      </c>
      <c r="N43" s="63">
        <f t="shared" si="11"/>
        <v>0</v>
      </c>
      <c r="O43" s="63">
        <f t="shared" si="11"/>
        <v>0</v>
      </c>
      <c r="P43" s="63">
        <f t="shared" si="11"/>
        <v>0</v>
      </c>
      <c r="Q43" s="63">
        <f t="shared" si="11"/>
        <v>0</v>
      </c>
      <c r="R43" s="63">
        <f t="shared" si="11"/>
        <v>-3070</v>
      </c>
      <c r="S43" s="63">
        <f t="shared" si="11"/>
        <v>-5000</v>
      </c>
      <c r="T43" s="63">
        <f t="shared" si="11"/>
        <v>-1500</v>
      </c>
      <c r="U43" s="63">
        <f t="shared" si="11"/>
        <v>-5620</v>
      </c>
      <c r="V43" s="63">
        <f t="shared" si="11"/>
        <v>-97330</v>
      </c>
      <c r="W43" s="63">
        <f t="shared" si="11"/>
        <v>-11000</v>
      </c>
      <c r="X43" s="63">
        <f t="shared" si="11"/>
        <v>-2640</v>
      </c>
      <c r="Y43" s="63">
        <f t="shared" si="11"/>
        <v>-113360</v>
      </c>
      <c r="Z43" s="63">
        <f t="shared" si="11"/>
        <v>-5160</v>
      </c>
      <c r="AA43" s="63">
        <f t="shared" si="11"/>
        <v>-2020</v>
      </c>
      <c r="AB43" s="63">
        <f t="shared" si="11"/>
        <v>-9690</v>
      </c>
      <c r="AC43" s="63">
        <f t="shared" si="11"/>
        <v>-1200</v>
      </c>
      <c r="AD43" s="63">
        <f t="shared" si="11"/>
        <v>-1750</v>
      </c>
      <c r="AE43" s="63">
        <f t="shared" si="11"/>
        <v>0</v>
      </c>
      <c r="AF43" s="121">
        <f>SUM(C43:K43)+SUM(Q43:AE43)</f>
        <v>-926580</v>
      </c>
    </row>
    <row r="44" spans="1:32" x14ac:dyDescent="0.35">
      <c r="A44" s="9" t="s">
        <v>469</v>
      </c>
      <c r="C44" s="63">
        <f t="shared" ref="C44:AE44" si="12">C36-C53</f>
        <v>-64720</v>
      </c>
      <c r="D44" s="63">
        <f t="shared" si="12"/>
        <v>0</v>
      </c>
      <c r="E44" s="63">
        <f t="shared" si="12"/>
        <v>-1500</v>
      </c>
      <c r="F44" s="63">
        <f t="shared" si="12"/>
        <v>0</v>
      </c>
      <c r="G44" s="63">
        <f t="shared" si="12"/>
        <v>0</v>
      </c>
      <c r="H44" s="63">
        <f t="shared" si="12"/>
        <v>0</v>
      </c>
      <c r="I44" s="63">
        <f t="shared" si="12"/>
        <v>0</v>
      </c>
      <c r="J44" s="63">
        <f t="shared" si="12"/>
        <v>0</v>
      </c>
      <c r="K44" s="63">
        <f t="shared" si="12"/>
        <v>0</v>
      </c>
      <c r="L44" s="63">
        <f t="shared" si="12"/>
        <v>0</v>
      </c>
      <c r="M44" s="63">
        <f t="shared" si="12"/>
        <v>0</v>
      </c>
      <c r="N44" s="63">
        <f t="shared" si="12"/>
        <v>0</v>
      </c>
      <c r="O44" s="63">
        <f t="shared" si="12"/>
        <v>0</v>
      </c>
      <c r="P44" s="63">
        <f t="shared" si="12"/>
        <v>0</v>
      </c>
      <c r="Q44" s="63">
        <f t="shared" si="12"/>
        <v>0</v>
      </c>
      <c r="R44" s="63">
        <f t="shared" si="12"/>
        <v>960</v>
      </c>
      <c r="S44" s="63">
        <f t="shared" si="12"/>
        <v>0</v>
      </c>
      <c r="T44" s="63">
        <f t="shared" si="12"/>
        <v>-160</v>
      </c>
      <c r="U44" s="63">
        <f t="shared" si="12"/>
        <v>-240</v>
      </c>
      <c r="V44" s="63">
        <f t="shared" si="12"/>
        <v>-1710</v>
      </c>
      <c r="W44" s="63">
        <f t="shared" si="12"/>
        <v>-500</v>
      </c>
      <c r="X44" s="63">
        <f t="shared" si="12"/>
        <v>-160</v>
      </c>
      <c r="Y44" s="63">
        <f t="shared" si="12"/>
        <v>-10970</v>
      </c>
      <c r="Z44" s="63">
        <f t="shared" si="12"/>
        <v>-650</v>
      </c>
      <c r="AA44" s="63">
        <f t="shared" si="12"/>
        <v>-280</v>
      </c>
      <c r="AB44" s="63">
        <f t="shared" si="12"/>
        <v>-950</v>
      </c>
      <c r="AC44" s="63">
        <f t="shared" si="12"/>
        <v>-110</v>
      </c>
      <c r="AD44" s="63">
        <f t="shared" si="12"/>
        <v>1500</v>
      </c>
      <c r="AE44" s="63">
        <f t="shared" si="12"/>
        <v>0</v>
      </c>
      <c r="AF44" s="121">
        <f>SUM(C44:K44)+SUM(Q44:AE44)</f>
        <v>-79490</v>
      </c>
    </row>
    <row r="45" spans="1:32" x14ac:dyDescent="0.35">
      <c r="A45" s="9" t="s">
        <v>470</v>
      </c>
      <c r="C45" s="121">
        <f t="shared" ref="C45:AF45" si="13">SUM(C41:C44)</f>
        <v>-11312690</v>
      </c>
      <c r="D45" s="121">
        <f t="shared" si="13"/>
        <v>-9600</v>
      </c>
      <c r="E45" s="121">
        <f t="shared" si="13"/>
        <v>-157840</v>
      </c>
      <c r="F45" s="121">
        <f t="shared" si="13"/>
        <v>-30000</v>
      </c>
      <c r="G45" s="121">
        <f t="shared" si="13"/>
        <v>0</v>
      </c>
      <c r="H45" s="121">
        <f t="shared" si="13"/>
        <v>-3000</v>
      </c>
      <c r="I45" s="121">
        <f t="shared" si="13"/>
        <v>-6240</v>
      </c>
      <c r="J45" s="121">
        <f t="shared" si="13"/>
        <v>-15600</v>
      </c>
      <c r="K45" s="121">
        <f t="shared" si="13"/>
        <v>-10800</v>
      </c>
      <c r="L45" s="121">
        <f t="shared" si="13"/>
        <v>0</v>
      </c>
      <c r="M45" s="121">
        <f t="shared" si="13"/>
        <v>0</v>
      </c>
      <c r="N45" s="121">
        <f t="shared" si="13"/>
        <v>0</v>
      </c>
      <c r="O45" s="121">
        <f t="shared" si="13"/>
        <v>0</v>
      </c>
      <c r="P45" s="121">
        <f t="shared" si="13"/>
        <v>0</v>
      </c>
      <c r="Q45" s="121">
        <f t="shared" si="13"/>
        <v>0</v>
      </c>
      <c r="R45" s="121">
        <f t="shared" si="13"/>
        <v>-89970</v>
      </c>
      <c r="S45" s="121">
        <f t="shared" si="13"/>
        <v>-42000</v>
      </c>
      <c r="T45" s="121">
        <f t="shared" si="13"/>
        <v>-23960</v>
      </c>
      <c r="U45" s="121">
        <f t="shared" si="13"/>
        <v>-66370</v>
      </c>
      <c r="V45" s="121">
        <f t="shared" si="13"/>
        <v>-1334510</v>
      </c>
      <c r="W45" s="121">
        <f t="shared" si="13"/>
        <v>-103000</v>
      </c>
      <c r="X45" s="121">
        <f t="shared" si="13"/>
        <v>-26910</v>
      </c>
      <c r="Y45" s="121">
        <f t="shared" si="13"/>
        <v>-1918790</v>
      </c>
      <c r="Z45" s="121">
        <f t="shared" si="13"/>
        <v>-96010</v>
      </c>
      <c r="AA45" s="121">
        <f t="shared" si="13"/>
        <v>-26780</v>
      </c>
      <c r="AB45" s="121">
        <f t="shared" si="13"/>
        <v>-164870</v>
      </c>
      <c r="AC45" s="121">
        <f t="shared" si="13"/>
        <v>-23580</v>
      </c>
      <c r="AD45" s="121">
        <f t="shared" si="13"/>
        <v>-85750</v>
      </c>
      <c r="AE45" s="121">
        <f t="shared" si="13"/>
        <v>-1770</v>
      </c>
      <c r="AF45" s="121">
        <f t="shared" si="13"/>
        <v>-15550040</v>
      </c>
    </row>
    <row r="48" spans="1:32" x14ac:dyDescent="0.35">
      <c r="A48" s="9" t="s">
        <v>606</v>
      </c>
    </row>
    <row r="49" spans="1:32" x14ac:dyDescent="0.35">
      <c r="A49" s="9" t="s">
        <v>465</v>
      </c>
      <c r="C49" s="63">
        <v>21686640</v>
      </c>
      <c r="D49" s="63">
        <v>16800</v>
      </c>
      <c r="E49" s="63">
        <v>300650</v>
      </c>
      <c r="F49" s="63">
        <v>74610</v>
      </c>
      <c r="G49" s="63">
        <v>42500</v>
      </c>
      <c r="H49" s="63">
        <v>6010</v>
      </c>
      <c r="I49" s="63">
        <v>15240</v>
      </c>
      <c r="J49" s="63">
        <v>128140</v>
      </c>
      <c r="K49" s="63">
        <v>24010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162790</v>
      </c>
      <c r="S49" s="63">
        <v>863660</v>
      </c>
      <c r="T49" s="63">
        <v>44810</v>
      </c>
      <c r="U49" s="63">
        <v>115200</v>
      </c>
      <c r="V49" s="63">
        <v>2394590</v>
      </c>
      <c r="W49" s="63">
        <v>185250</v>
      </c>
      <c r="X49" s="63">
        <v>48400</v>
      </c>
      <c r="Y49" s="63">
        <v>3844580</v>
      </c>
      <c r="Z49" s="63">
        <v>190450</v>
      </c>
      <c r="AA49" s="63">
        <v>48270</v>
      </c>
      <c r="AB49" s="63">
        <v>315470</v>
      </c>
      <c r="AC49" s="63">
        <v>42770</v>
      </c>
      <c r="AD49" s="63">
        <v>180000</v>
      </c>
      <c r="AE49" s="63">
        <v>154450</v>
      </c>
      <c r="AF49" s="121">
        <f>SUM(C49:AE49)</f>
        <v>30885290</v>
      </c>
    </row>
    <row r="50" spans="1:32" x14ac:dyDescent="0.35">
      <c r="A50" s="9" t="s">
        <v>466</v>
      </c>
      <c r="C50" s="63">
        <v>80260</v>
      </c>
      <c r="D50" s="63">
        <v>0</v>
      </c>
      <c r="E50" s="63">
        <v>3300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920</v>
      </c>
      <c r="S50" s="63">
        <v>0</v>
      </c>
      <c r="T50" s="63">
        <v>180</v>
      </c>
      <c r="U50" s="63">
        <v>390</v>
      </c>
      <c r="V50" s="63">
        <v>10770</v>
      </c>
      <c r="W50" s="63">
        <v>0</v>
      </c>
      <c r="X50" s="63">
        <v>0</v>
      </c>
      <c r="Y50" s="63">
        <v>14090</v>
      </c>
      <c r="Z50" s="63">
        <v>930</v>
      </c>
      <c r="AA50" s="63">
        <v>150</v>
      </c>
      <c r="AB50" s="63">
        <v>1220</v>
      </c>
      <c r="AC50" s="63">
        <v>150</v>
      </c>
      <c r="AD50" s="63">
        <v>1500</v>
      </c>
      <c r="AE50" s="63">
        <v>0</v>
      </c>
      <c r="AF50" s="121">
        <f>SUM(C50:AE50)</f>
        <v>113860</v>
      </c>
    </row>
    <row r="51" spans="1:32" x14ac:dyDescent="0.35">
      <c r="A51" s="9" t="s">
        <v>467</v>
      </c>
      <c r="C51" s="63">
        <v>154970</v>
      </c>
      <c r="D51" s="63">
        <v>0</v>
      </c>
      <c r="E51" s="63">
        <v>2850</v>
      </c>
      <c r="F51" s="63">
        <v>0</v>
      </c>
      <c r="G51" s="63">
        <v>0</v>
      </c>
      <c r="H51" s="63">
        <v>0</v>
      </c>
      <c r="I51" s="63">
        <v>600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820</v>
      </c>
      <c r="S51" s="63">
        <v>5000</v>
      </c>
      <c r="T51" s="63">
        <v>380</v>
      </c>
      <c r="U51" s="63">
        <v>1310</v>
      </c>
      <c r="V51" s="63">
        <v>25470</v>
      </c>
      <c r="W51" s="63">
        <v>1250</v>
      </c>
      <c r="X51" s="63">
        <v>440</v>
      </c>
      <c r="Y51" s="63">
        <v>20330</v>
      </c>
      <c r="Z51" s="63">
        <v>1040</v>
      </c>
      <c r="AA51" s="63">
        <v>360</v>
      </c>
      <c r="AB51" s="63">
        <v>1680</v>
      </c>
      <c r="AC51" s="63">
        <v>210</v>
      </c>
      <c r="AD51" s="63">
        <v>750</v>
      </c>
      <c r="AE51" s="63">
        <v>0</v>
      </c>
      <c r="AF51" s="121">
        <f>SUM(C51:AE51)</f>
        <v>217460</v>
      </c>
    </row>
    <row r="52" spans="1:32" x14ac:dyDescent="0.35">
      <c r="A52" s="9" t="s">
        <v>468</v>
      </c>
      <c r="C52" s="63">
        <v>1928790</v>
      </c>
      <c r="D52" s="63">
        <v>0</v>
      </c>
      <c r="E52" s="63">
        <v>12000</v>
      </c>
      <c r="F52" s="63">
        <v>0</v>
      </c>
      <c r="G52" s="63">
        <v>0</v>
      </c>
      <c r="H52" s="63">
        <v>0</v>
      </c>
      <c r="I52" s="63">
        <v>3000</v>
      </c>
      <c r="J52" s="63">
        <v>17090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9870</v>
      </c>
      <c r="S52" s="63">
        <v>76900</v>
      </c>
      <c r="T52" s="63">
        <v>4230</v>
      </c>
      <c r="U52" s="63">
        <v>13750</v>
      </c>
      <c r="V52" s="63">
        <v>263300</v>
      </c>
      <c r="W52" s="63">
        <v>27000</v>
      </c>
      <c r="X52" s="63">
        <v>6350</v>
      </c>
      <c r="Y52" s="63">
        <v>335560</v>
      </c>
      <c r="Z52" s="63">
        <v>12660</v>
      </c>
      <c r="AA52" s="63">
        <v>5320</v>
      </c>
      <c r="AB52" s="63">
        <v>27780</v>
      </c>
      <c r="AC52" s="63">
        <v>3460</v>
      </c>
      <c r="AD52" s="63">
        <v>8000</v>
      </c>
      <c r="AE52" s="63">
        <v>380</v>
      </c>
      <c r="AF52" s="121">
        <f>SUM(C52:AE52)</f>
        <v>2755440</v>
      </c>
    </row>
    <row r="53" spans="1:32" x14ac:dyDescent="0.35">
      <c r="A53" s="9" t="s">
        <v>469</v>
      </c>
      <c r="C53" s="63">
        <v>266370</v>
      </c>
      <c r="D53" s="63">
        <v>0</v>
      </c>
      <c r="E53" s="63">
        <v>3300</v>
      </c>
      <c r="F53" s="63">
        <v>0</v>
      </c>
      <c r="G53" s="63">
        <v>0</v>
      </c>
      <c r="H53" s="63">
        <v>0</v>
      </c>
      <c r="I53" s="63">
        <v>600</v>
      </c>
      <c r="J53" s="63">
        <v>4030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250</v>
      </c>
      <c r="S53" s="63">
        <v>5500</v>
      </c>
      <c r="T53" s="63">
        <v>640</v>
      </c>
      <c r="U53" s="63">
        <v>940</v>
      </c>
      <c r="V53" s="63">
        <v>24070</v>
      </c>
      <c r="W53" s="63">
        <v>4000</v>
      </c>
      <c r="X53" s="63">
        <v>960</v>
      </c>
      <c r="Y53" s="63">
        <v>46980</v>
      </c>
      <c r="Z53" s="63">
        <v>3230</v>
      </c>
      <c r="AA53" s="63">
        <v>930</v>
      </c>
      <c r="AB53" s="63">
        <v>3970</v>
      </c>
      <c r="AC53" s="63">
        <v>490</v>
      </c>
      <c r="AD53" s="63">
        <v>0</v>
      </c>
      <c r="AE53" s="63">
        <v>0</v>
      </c>
      <c r="AF53" s="121">
        <f>SUM(C53:AE53)</f>
        <v>366260</v>
      </c>
    </row>
    <row r="54" spans="1:32" x14ac:dyDescent="0.35">
      <c r="A54" s="9" t="s">
        <v>470</v>
      </c>
      <c r="C54" s="63">
        <f>SUBTOTAL(9,C49:C53)</f>
        <v>24117030</v>
      </c>
      <c r="D54" s="63">
        <f t="shared" ref="D54:AF54" si="14">SUBTOTAL(9,D49:D53)</f>
        <v>16800</v>
      </c>
      <c r="E54" s="63">
        <f t="shared" si="14"/>
        <v>322100</v>
      </c>
      <c r="F54" s="63">
        <f t="shared" si="14"/>
        <v>74610</v>
      </c>
      <c r="G54" s="63">
        <f t="shared" si="14"/>
        <v>42500</v>
      </c>
      <c r="H54" s="63">
        <f t="shared" si="14"/>
        <v>6010</v>
      </c>
      <c r="I54" s="63">
        <f t="shared" si="14"/>
        <v>19440</v>
      </c>
      <c r="J54" s="63">
        <f t="shared" si="14"/>
        <v>149260</v>
      </c>
      <c r="K54" s="63">
        <f t="shared" si="14"/>
        <v>24010</v>
      </c>
      <c r="L54" s="63">
        <f t="shared" si="14"/>
        <v>0</v>
      </c>
      <c r="M54" s="63">
        <f t="shared" si="14"/>
        <v>0</v>
      </c>
      <c r="N54" s="63">
        <f t="shared" si="14"/>
        <v>0</v>
      </c>
      <c r="O54" s="63">
        <f t="shared" si="14"/>
        <v>0</v>
      </c>
      <c r="P54" s="63">
        <f t="shared" si="14"/>
        <v>0</v>
      </c>
      <c r="Q54" s="63">
        <f t="shared" si="14"/>
        <v>0</v>
      </c>
      <c r="R54" s="63">
        <f t="shared" si="14"/>
        <v>174650</v>
      </c>
      <c r="S54" s="63">
        <f t="shared" si="14"/>
        <v>951060</v>
      </c>
      <c r="T54" s="63">
        <f t="shared" si="14"/>
        <v>50240</v>
      </c>
      <c r="U54" s="63">
        <f t="shared" si="14"/>
        <v>131590</v>
      </c>
      <c r="V54" s="63">
        <f t="shared" si="14"/>
        <v>2718200</v>
      </c>
      <c r="W54" s="63">
        <f t="shared" si="14"/>
        <v>217500</v>
      </c>
      <c r="X54" s="63">
        <f t="shared" si="14"/>
        <v>56150</v>
      </c>
      <c r="Y54" s="63">
        <f t="shared" si="14"/>
        <v>4261540</v>
      </c>
      <c r="Z54" s="63">
        <f t="shared" si="14"/>
        <v>208310</v>
      </c>
      <c r="AA54" s="63">
        <f t="shared" si="14"/>
        <v>55030</v>
      </c>
      <c r="AB54" s="63">
        <f t="shared" si="14"/>
        <v>350120</v>
      </c>
      <c r="AC54" s="63">
        <f t="shared" si="14"/>
        <v>47080</v>
      </c>
      <c r="AD54" s="63">
        <f t="shared" si="14"/>
        <v>190250</v>
      </c>
      <c r="AE54" s="63">
        <f t="shared" si="14"/>
        <v>154830</v>
      </c>
      <c r="AF54" s="63">
        <f t="shared" si="14"/>
        <v>34338310</v>
      </c>
    </row>
  </sheetData>
  <conditionalFormatting sqref="A1:A2">
    <cfRule type="cellIs" dxfId="4" priority="1" operator="equal">
      <formula>"VACANT"</formula>
    </cfRule>
    <cfRule type="cellIs" dxfId="3" priority="2" operator="equal">
      <formula>"SEASONAL"</formula>
    </cfRule>
    <cfRule type="cellIs" dxfId="2" priority="3" operator="equal">
      <formula>"DIVISION"</formula>
    </cfRule>
    <cfRule type="cellIs" dxfId="1" priority="4" operator="equal">
      <formula>"FROZEN"</formula>
    </cfRule>
  </conditionalFormatting>
  <printOptions gridLines="1"/>
  <pageMargins left="0.45" right="0.45" top="0.5" bottom="0.5" header="0.3" footer="0.3"/>
  <pageSetup paperSize="17" scale="68" orientation="landscape" r:id="rId1"/>
  <headerFooter>
    <oddHeader>&amp;CFY22-23 Personnel Budget - Proposed</oddHeader>
    <oddFooter>&amp;RPrinted on &amp;D at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068D-B0CB-47F9-87FE-15730B777918}">
  <sheetPr>
    <tabColor rgb="FF00FF00"/>
    <pageSetUpPr fitToPage="1"/>
  </sheetPr>
  <dimension ref="A1:G36"/>
  <sheetViews>
    <sheetView tabSelected="1" view="pageBreakPreview" zoomScaleNormal="100" zoomScaleSheetLayoutView="100" workbookViewId="0">
      <selection activeCell="G4" sqref="G4"/>
    </sheetView>
  </sheetViews>
  <sheetFormatPr defaultColWidth="9.1796875" defaultRowHeight="14.5" x14ac:dyDescent="0.35"/>
  <cols>
    <col min="1" max="1" width="33.81640625" style="9" bestFit="1" customWidth="1"/>
    <col min="2" max="2" width="9" style="9" bestFit="1" customWidth="1"/>
    <col min="3" max="3" width="9.7265625" style="9" bestFit="1" customWidth="1"/>
    <col min="4" max="4" width="10.54296875" style="9" bestFit="1" customWidth="1"/>
    <col min="5" max="5" width="10.26953125" style="9" customWidth="1"/>
    <col min="6" max="6" width="9.81640625" style="9" bestFit="1" customWidth="1"/>
    <col min="7" max="7" width="10" style="9" bestFit="1" customWidth="1"/>
    <col min="8" max="16384" width="9.1796875" style="9"/>
  </cols>
  <sheetData>
    <row r="1" spans="1:7" x14ac:dyDescent="0.35">
      <c r="B1" s="220" t="s">
        <v>413</v>
      </c>
      <c r="C1" s="220"/>
      <c r="D1" s="220"/>
      <c r="E1" s="221"/>
      <c r="F1" s="221"/>
      <c r="G1" s="221"/>
    </row>
    <row r="2" spans="1:7" x14ac:dyDescent="0.35">
      <c r="B2" s="115" t="s">
        <v>396</v>
      </c>
      <c r="C2" s="115" t="s">
        <v>399</v>
      </c>
      <c r="D2" s="116" t="s">
        <v>414</v>
      </c>
      <c r="E2" s="117" t="s">
        <v>415</v>
      </c>
      <c r="F2" s="117" t="s">
        <v>416</v>
      </c>
      <c r="G2" s="117" t="s">
        <v>417</v>
      </c>
    </row>
    <row r="3" spans="1:7" ht="29" x14ac:dyDescent="0.35">
      <c r="B3" s="118" t="s">
        <v>418</v>
      </c>
      <c r="C3" s="118" t="s">
        <v>419</v>
      </c>
      <c r="D3" s="119" t="s">
        <v>378</v>
      </c>
      <c r="E3" s="120" t="s">
        <v>420</v>
      </c>
      <c r="F3" s="120" t="s">
        <v>421</v>
      </c>
      <c r="G3" s="120" t="s">
        <v>422</v>
      </c>
    </row>
    <row r="4" spans="1:7" x14ac:dyDescent="0.35">
      <c r="A4" s="9" t="s">
        <v>423</v>
      </c>
      <c r="B4" s="63">
        <v>0</v>
      </c>
      <c r="C4" s="63">
        <v>0</v>
      </c>
      <c r="D4" s="63">
        <v>500</v>
      </c>
      <c r="E4" s="63">
        <v>0</v>
      </c>
      <c r="F4" s="63">
        <v>0</v>
      </c>
      <c r="G4" s="63">
        <f>'RHS-GASB'!I4</f>
        <v>4850</v>
      </c>
    </row>
    <row r="5" spans="1:7" x14ac:dyDescent="0.35">
      <c r="A5" s="9" t="s">
        <v>424</v>
      </c>
      <c r="B5" s="63">
        <v>0</v>
      </c>
      <c r="C5" s="63">
        <v>0</v>
      </c>
      <c r="D5" s="63">
        <v>2500</v>
      </c>
      <c r="E5" s="63">
        <v>0</v>
      </c>
      <c r="F5" s="63">
        <v>0</v>
      </c>
      <c r="G5" s="63">
        <v>0</v>
      </c>
    </row>
    <row r="6" spans="1:7" x14ac:dyDescent="0.35">
      <c r="A6" s="9" t="s">
        <v>425</v>
      </c>
      <c r="B6" s="63">
        <v>0</v>
      </c>
      <c r="C6" s="63">
        <v>0</v>
      </c>
      <c r="D6" s="63">
        <v>2500</v>
      </c>
      <c r="E6" s="63">
        <v>0</v>
      </c>
      <c r="F6" s="63">
        <v>0</v>
      </c>
      <c r="G6" s="63">
        <v>0</v>
      </c>
    </row>
    <row r="7" spans="1:7" x14ac:dyDescent="0.35">
      <c r="A7" s="9" t="s">
        <v>426</v>
      </c>
      <c r="B7" s="63">
        <v>0</v>
      </c>
      <c r="C7" s="63">
        <v>0</v>
      </c>
      <c r="D7" s="63">
        <v>5000</v>
      </c>
      <c r="E7" s="63">
        <v>0</v>
      </c>
      <c r="F7" s="63">
        <v>0</v>
      </c>
      <c r="G7" s="63">
        <f>'RHS-GASB'!I6</f>
        <v>390</v>
      </c>
    </row>
    <row r="8" spans="1:7" x14ac:dyDescent="0.35">
      <c r="A8" s="9" t="s">
        <v>427</v>
      </c>
      <c r="B8" s="63">
        <v>0</v>
      </c>
      <c r="C8" s="63">
        <v>0</v>
      </c>
      <c r="D8" s="63">
        <v>1800</v>
      </c>
      <c r="E8" s="63">
        <v>0</v>
      </c>
      <c r="F8" s="63">
        <v>500</v>
      </c>
      <c r="G8" s="63">
        <f>'RHS-GASB'!I8</f>
        <v>390</v>
      </c>
    </row>
    <row r="9" spans="1:7" x14ac:dyDescent="0.35">
      <c r="A9" s="9" t="s">
        <v>428</v>
      </c>
      <c r="B9" s="63">
        <v>0</v>
      </c>
      <c r="C9" s="63">
        <v>0</v>
      </c>
      <c r="D9" s="63">
        <v>4000</v>
      </c>
      <c r="E9" s="63">
        <v>0</v>
      </c>
      <c r="F9" s="63">
        <v>0</v>
      </c>
      <c r="G9" s="63">
        <f>'RHS-GASB'!I10</f>
        <v>200</v>
      </c>
    </row>
    <row r="10" spans="1:7" x14ac:dyDescent="0.35">
      <c r="A10" s="9" t="s">
        <v>429</v>
      </c>
      <c r="B10" s="63">
        <v>0</v>
      </c>
      <c r="C10" s="63">
        <v>0</v>
      </c>
      <c r="D10" s="63">
        <v>500</v>
      </c>
      <c r="E10" s="63">
        <v>0</v>
      </c>
      <c r="F10" s="63">
        <v>0</v>
      </c>
      <c r="G10" s="63">
        <v>0</v>
      </c>
    </row>
    <row r="11" spans="1:7" x14ac:dyDescent="0.35">
      <c r="A11" s="9" t="s">
        <v>430</v>
      </c>
      <c r="B11" s="63">
        <v>0</v>
      </c>
      <c r="C11" s="63">
        <v>0</v>
      </c>
      <c r="D11" s="63">
        <v>500</v>
      </c>
      <c r="E11" s="63">
        <v>0</v>
      </c>
      <c r="F11" s="63">
        <v>0</v>
      </c>
      <c r="G11" s="63">
        <f>'RHS-GASB'!I12</f>
        <v>240</v>
      </c>
    </row>
    <row r="12" spans="1:7" x14ac:dyDescent="0.35">
      <c r="A12" s="9" t="s">
        <v>431</v>
      </c>
      <c r="B12" s="63">
        <v>0</v>
      </c>
      <c r="C12" s="63">
        <v>0</v>
      </c>
      <c r="D12" s="63">
        <v>1500</v>
      </c>
      <c r="E12" s="63">
        <v>0</v>
      </c>
      <c r="F12" s="63">
        <v>0</v>
      </c>
      <c r="G12" s="63">
        <v>0</v>
      </c>
    </row>
    <row r="13" spans="1:7" x14ac:dyDescent="0.35">
      <c r="A13" s="9" t="s">
        <v>432</v>
      </c>
      <c r="B13" s="63">
        <v>0</v>
      </c>
      <c r="C13" s="63">
        <v>0</v>
      </c>
      <c r="D13" s="63">
        <v>500</v>
      </c>
      <c r="E13" s="63">
        <v>0</v>
      </c>
      <c r="F13" s="63">
        <v>0</v>
      </c>
      <c r="G13" s="63">
        <v>0</v>
      </c>
    </row>
    <row r="14" spans="1:7" x14ac:dyDescent="0.35">
      <c r="A14" s="9" t="s">
        <v>433</v>
      </c>
      <c r="B14" s="63">
        <v>0</v>
      </c>
      <c r="C14" s="63">
        <v>7800</v>
      </c>
      <c r="D14" s="63">
        <v>3500</v>
      </c>
      <c r="E14" s="63">
        <v>0</v>
      </c>
      <c r="F14" s="63">
        <v>0</v>
      </c>
      <c r="G14" s="63">
        <v>0</v>
      </c>
    </row>
    <row r="15" spans="1:7" x14ac:dyDescent="0.35">
      <c r="A15" s="9" t="s">
        <v>434</v>
      </c>
      <c r="B15" s="63">
        <v>0</v>
      </c>
      <c r="C15" s="63">
        <v>8020</v>
      </c>
      <c r="D15" s="63">
        <v>12860</v>
      </c>
      <c r="E15" s="63">
        <v>0</v>
      </c>
      <c r="F15" s="63">
        <v>0</v>
      </c>
      <c r="G15" s="63">
        <v>0</v>
      </c>
    </row>
    <row r="16" spans="1:7" x14ac:dyDescent="0.35">
      <c r="A16" s="9" t="s">
        <v>435</v>
      </c>
      <c r="B16" s="63">
        <v>0</v>
      </c>
      <c r="C16" s="63">
        <v>0</v>
      </c>
      <c r="D16" s="63">
        <v>1000</v>
      </c>
      <c r="E16" s="63">
        <v>0</v>
      </c>
      <c r="F16" s="63">
        <v>0</v>
      </c>
      <c r="G16" s="63">
        <v>0</v>
      </c>
    </row>
    <row r="17" spans="1:7" x14ac:dyDescent="0.35">
      <c r="A17" s="9" t="s">
        <v>436</v>
      </c>
      <c r="B17" s="63">
        <v>0</v>
      </c>
      <c r="C17" s="63">
        <v>0</v>
      </c>
      <c r="D17" s="63">
        <v>1300</v>
      </c>
      <c r="E17" s="63">
        <v>0</v>
      </c>
      <c r="F17" s="63">
        <v>0</v>
      </c>
      <c r="G17" s="63">
        <v>0</v>
      </c>
    </row>
    <row r="18" spans="1:7" x14ac:dyDescent="0.35">
      <c r="A18" s="9" t="s">
        <v>437</v>
      </c>
      <c r="B18" s="63">
        <v>0</v>
      </c>
      <c r="C18" s="63">
        <v>0</v>
      </c>
      <c r="D18" s="63">
        <v>3700</v>
      </c>
      <c r="E18" s="63">
        <v>0</v>
      </c>
      <c r="F18" s="63">
        <v>0</v>
      </c>
      <c r="G18" s="63">
        <f>'RHS-GASB'!I14</f>
        <v>140</v>
      </c>
    </row>
    <row r="19" spans="1:7" x14ac:dyDescent="0.35">
      <c r="A19" s="9" t="s">
        <v>438</v>
      </c>
      <c r="B19" s="63">
        <v>1500</v>
      </c>
      <c r="C19" s="63">
        <f>'PD SB'!B6</f>
        <v>5720</v>
      </c>
      <c r="D19" s="63">
        <v>3200</v>
      </c>
      <c r="E19" s="63">
        <v>0</v>
      </c>
      <c r="F19" s="63">
        <v>0</v>
      </c>
      <c r="G19" s="63">
        <f>'RHS-GASB'!I20</f>
        <v>28500</v>
      </c>
    </row>
    <row r="20" spans="1:7" x14ac:dyDescent="0.35">
      <c r="A20" s="9" t="s">
        <v>439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</row>
    <row r="21" spans="1:7" x14ac:dyDescent="0.35">
      <c r="A21" s="9" t="s">
        <v>440</v>
      </c>
      <c r="B21" s="63">
        <v>0</v>
      </c>
      <c r="C21" s="63">
        <v>7800</v>
      </c>
      <c r="D21" s="63">
        <v>16000</v>
      </c>
      <c r="E21" s="63">
        <v>0</v>
      </c>
      <c r="F21" s="63">
        <v>0</v>
      </c>
      <c r="G21" s="63">
        <v>0</v>
      </c>
    </row>
    <row r="22" spans="1:7" x14ac:dyDescent="0.35">
      <c r="A22" s="9" t="s">
        <v>441</v>
      </c>
      <c r="B22" s="63">
        <v>6000</v>
      </c>
      <c r="C22" s="63">
        <f>'PD SB'!B7+'PD SB'!B10+'PD SB'!C15</f>
        <v>98800</v>
      </c>
      <c r="D22" s="63">
        <v>273300</v>
      </c>
      <c r="E22" s="63">
        <v>0</v>
      </c>
      <c r="F22" s="63">
        <v>0</v>
      </c>
      <c r="G22" s="63">
        <f>+'RHS-GASB'!I38</f>
        <v>108630</v>
      </c>
    </row>
    <row r="23" spans="1:7" x14ac:dyDescent="0.35">
      <c r="A23" s="9" t="s">
        <v>442</v>
      </c>
      <c r="B23" s="63">
        <v>3000</v>
      </c>
      <c r="C23" s="63">
        <v>0</v>
      </c>
      <c r="D23" s="63">
        <v>4500</v>
      </c>
      <c r="E23" s="63">
        <v>0</v>
      </c>
      <c r="F23" s="63">
        <v>0</v>
      </c>
      <c r="G23" s="63">
        <f>+'RHS-GASB'!I40</f>
        <v>240</v>
      </c>
    </row>
    <row r="24" spans="1:7" x14ac:dyDescent="0.35">
      <c r="A24" s="9" t="s">
        <v>443</v>
      </c>
      <c r="B24" s="63">
        <v>32000</v>
      </c>
      <c r="C24" s="63">
        <v>0</v>
      </c>
      <c r="D24" s="63">
        <v>348000</v>
      </c>
      <c r="E24" s="63">
        <v>35000</v>
      </c>
      <c r="F24" s="63">
        <v>0</v>
      </c>
      <c r="G24" s="63">
        <f>+'RHS-GASB'!I45</f>
        <v>5470</v>
      </c>
    </row>
    <row r="25" spans="1:7" x14ac:dyDescent="0.35">
      <c r="A25" s="9" t="s">
        <v>444</v>
      </c>
      <c r="B25" s="63">
        <v>0</v>
      </c>
      <c r="C25" s="63">
        <v>0</v>
      </c>
      <c r="D25" s="63">
        <v>3000</v>
      </c>
      <c r="E25" s="63">
        <v>3000</v>
      </c>
      <c r="F25" s="63">
        <v>250</v>
      </c>
      <c r="G25" s="63">
        <f>+'RHS-GASB'!I51</f>
        <v>1000</v>
      </c>
    </row>
    <row r="26" spans="1:7" x14ac:dyDescent="0.35">
      <c r="A26" s="9" t="s">
        <v>445</v>
      </c>
      <c r="B26" s="63">
        <v>0</v>
      </c>
      <c r="C26" s="63">
        <v>0</v>
      </c>
      <c r="D26" s="63">
        <v>13000</v>
      </c>
      <c r="E26" s="63">
        <v>0</v>
      </c>
      <c r="F26" s="63">
        <v>0</v>
      </c>
      <c r="G26" s="63">
        <f>+'RHS-GASB'!I54</f>
        <v>4160</v>
      </c>
    </row>
    <row r="27" spans="1:7" x14ac:dyDescent="0.35">
      <c r="A27" s="9" t="s">
        <v>446</v>
      </c>
      <c r="B27" s="63">
        <v>0</v>
      </c>
      <c r="C27" s="63">
        <v>0</v>
      </c>
      <c r="D27" s="63">
        <v>9000</v>
      </c>
      <c r="E27" s="63">
        <v>0</v>
      </c>
      <c r="F27" s="63">
        <v>0</v>
      </c>
      <c r="G27" s="63">
        <f>+'RHS-GASB'!I56</f>
        <v>240</v>
      </c>
    </row>
    <row r="28" spans="1:7" x14ac:dyDescent="0.35">
      <c r="A28" s="9" t="s">
        <v>447</v>
      </c>
      <c r="B28" s="121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x14ac:dyDescent="0.35">
      <c r="A29" s="9" t="s">
        <v>448</v>
      </c>
      <c r="B29" s="121">
        <v>0</v>
      </c>
      <c r="C29" s="63">
        <v>0</v>
      </c>
      <c r="D29" s="63">
        <v>5000</v>
      </c>
      <c r="E29" s="63">
        <v>0</v>
      </c>
      <c r="F29" s="63">
        <v>0</v>
      </c>
      <c r="G29" s="63">
        <v>0</v>
      </c>
    </row>
    <row r="30" spans="1:7" x14ac:dyDescent="0.35">
      <c r="A30" s="9" t="s">
        <v>449</v>
      </c>
      <c r="B30" s="121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x14ac:dyDescent="0.35">
      <c r="A31" s="9" t="s">
        <v>450</v>
      </c>
      <c r="B31" s="121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</row>
    <row r="32" spans="1:7" x14ac:dyDescent="0.35">
      <c r="A32" s="9" t="s">
        <v>451</v>
      </c>
      <c r="B32" s="121">
        <v>0</v>
      </c>
      <c r="C32" s="63">
        <v>0</v>
      </c>
      <c r="D32" s="63">
        <v>5000</v>
      </c>
      <c r="E32" s="63">
        <v>0</v>
      </c>
      <c r="F32" s="63">
        <v>0</v>
      </c>
      <c r="G32" s="63">
        <v>0</v>
      </c>
    </row>
    <row r="33" spans="1:7" x14ac:dyDescent="0.35">
      <c r="A33" s="9" t="s">
        <v>452</v>
      </c>
      <c r="B33" s="121">
        <v>0</v>
      </c>
      <c r="C33" s="63">
        <v>10050</v>
      </c>
      <c r="D33" s="63">
        <v>45000</v>
      </c>
      <c r="E33" s="63">
        <v>0</v>
      </c>
      <c r="F33" s="63">
        <v>0</v>
      </c>
      <c r="G33" s="63">
        <f>+'RHS-GASB'!I58</f>
        <v>140</v>
      </c>
    </row>
    <row r="34" spans="1:7" x14ac:dyDescent="0.35">
      <c r="A34" s="9" t="s">
        <v>453</v>
      </c>
      <c r="B34" s="121">
        <v>0</v>
      </c>
      <c r="C34" s="63">
        <v>7040</v>
      </c>
      <c r="D34" s="63">
        <v>25000</v>
      </c>
      <c r="E34" s="63">
        <v>0</v>
      </c>
      <c r="F34" s="63">
        <v>0</v>
      </c>
      <c r="G34" s="63">
        <v>0</v>
      </c>
    </row>
    <row r="35" spans="1:7" x14ac:dyDescent="0.35">
      <c r="A35" s="9" t="s">
        <v>454</v>
      </c>
      <c r="B35" s="121">
        <v>0</v>
      </c>
      <c r="C35" s="63">
        <v>0</v>
      </c>
      <c r="D35" s="63">
        <v>1900</v>
      </c>
      <c r="E35" s="63">
        <v>0</v>
      </c>
      <c r="F35" s="63">
        <v>0</v>
      </c>
      <c r="G35" s="63">
        <f>+'RHS-GASB'!I60</f>
        <v>240</v>
      </c>
    </row>
    <row r="36" spans="1:7" x14ac:dyDescent="0.35">
      <c r="A36" s="9" t="s">
        <v>455</v>
      </c>
      <c r="B36" s="121">
        <v>0</v>
      </c>
      <c r="C36" s="63">
        <v>4030</v>
      </c>
      <c r="D36" s="63">
        <v>5500</v>
      </c>
      <c r="E36" s="63">
        <v>0</v>
      </c>
      <c r="F36" s="63">
        <v>0</v>
      </c>
      <c r="G36" s="63">
        <v>0</v>
      </c>
    </row>
  </sheetData>
  <mergeCells count="2">
    <mergeCell ref="B1:D1"/>
    <mergeCell ref="E1:G1"/>
  </mergeCells>
  <conditionalFormatting sqref="D2:F3">
    <cfRule type="cellIs" dxfId="0" priority="2" operator="equal">
      <formula>1200</formula>
    </cfRule>
  </conditionalFormatting>
  <printOptions gridLines="1"/>
  <pageMargins left="0.7" right="0.7" top="0.75" bottom="0.75" header="0.3" footer="0.3"/>
  <pageSetup scale="93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44FEF859F5BA4B89A4DC153F9F7047" ma:contentTypeVersion="15" ma:contentTypeDescription="Create a new document." ma:contentTypeScope="" ma:versionID="b5fa590b7f45a361efbe31527972df3a">
  <xsd:schema xmlns:xsd="http://www.w3.org/2001/XMLSchema" xmlns:xs="http://www.w3.org/2001/XMLSchema" xmlns:p="http://schemas.microsoft.com/office/2006/metadata/properties" xmlns:ns2="42d80b5b-9166-41de-9abd-a7089d0244a6" xmlns:ns3="8523a9fe-24b3-4fba-b4b4-99549620bb68" targetNamespace="http://schemas.microsoft.com/office/2006/metadata/properties" ma:root="true" ma:fieldsID="b01e48d6b3b521a7505fc0082122531f" ns2:_="" ns3:_="">
    <xsd:import namespace="42d80b5b-9166-41de-9abd-a7089d0244a6"/>
    <xsd:import namespace="8523a9fe-24b3-4fba-b4b4-99549620bb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80b5b-9166-41de-9abd-a7089d024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edaba5d-021b-47f3-88ae-893c76e4e3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3a9fe-24b3-4fba-b4b4-99549620bb6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ab375bf-7140-4311-8b8b-4d36e8f1518a}" ma:internalName="TaxCatchAll" ma:showField="CatchAllData" ma:web="8523a9fe-24b3-4fba-b4b4-99549620bb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23a9fe-24b3-4fba-b4b4-99549620bb68" xsi:nil="true"/>
    <lcf76f155ced4ddcb4097134ff3c332f xmlns="42d80b5b-9166-41de-9abd-a7089d0244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DF3DD8-B073-4A8F-81C7-4186B42BCBA9}"/>
</file>

<file path=customXml/itemProps2.xml><?xml version="1.0" encoding="utf-8"?>
<ds:datastoreItem xmlns:ds="http://schemas.openxmlformats.org/officeDocument/2006/customXml" ds:itemID="{6D6EBCFC-09D7-4CB4-AAF5-642B0033FB78}"/>
</file>

<file path=customXml/itemProps3.xml><?xml version="1.0" encoding="utf-8"?>
<ds:datastoreItem xmlns:ds="http://schemas.openxmlformats.org/officeDocument/2006/customXml" ds:itemID="{5C7540C3-EEB1-4459-9454-FED4D2A3880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Position Control</vt:lpstr>
      <vt:lpstr>STEP</vt:lpstr>
      <vt:lpstr>WRK COMP</vt:lpstr>
      <vt:lpstr>HRS</vt:lpstr>
      <vt:lpstr>BENE</vt:lpstr>
      <vt:lpstr>PD SB</vt:lpstr>
      <vt:lpstr>RHS-GASB</vt:lpstr>
      <vt:lpstr>SUMMARY</vt:lpstr>
      <vt:lpstr>DIVISION BUDGETS</vt:lpstr>
      <vt:lpstr>SUMMARY!Print_Area</vt:lpstr>
      <vt:lpstr>SUMMARY!Print_Titles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Jakubik</dc:creator>
  <cp:lastModifiedBy>Meg Jakubik</cp:lastModifiedBy>
  <cp:lastPrinted>2022-06-23T15:36:51Z</cp:lastPrinted>
  <dcterms:created xsi:type="dcterms:W3CDTF">2022-05-03T21:23:10Z</dcterms:created>
  <dcterms:modified xsi:type="dcterms:W3CDTF">2024-01-16T21:53:37Z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0x010100CE44FEF859F5BA4B89A4DC153F9F7047</vt:lpwstr>
  </property>
</Properties>
</file>