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northlake-my.sharepoint.com/personal/jzagurski_town_northlake_tx_us/Documents/Desktop/2024 Proposed Budget/"/>
    </mc:Choice>
  </mc:AlternateContent>
  <xr:revisionPtr revIDLastSave="218" documentId="8_{6B8EE491-C170-4EF1-95C8-751DAD2BB04E}" xr6:coauthVersionLast="47" xr6:coauthVersionMax="47" xr10:uidLastSave="{A756D280-FECC-4653-B3E6-BE15E130AB44}"/>
  <bookViews>
    <workbookView xWindow="-120" yWindow="-120" windowWidth="29040" windowHeight="15840" firstSheet="3" activeTab="3" xr2:uid="{4A20C6F8-B0C9-49DC-8C8C-863D63010509}"/>
  </bookViews>
  <sheets>
    <sheet name="Tax Rate Dashboard" sheetId="3" state="hidden" r:id="rId1"/>
    <sheet name="Calculations &amp; Comparitives" sheetId="1" state="hidden" r:id="rId2"/>
    <sheet name="Exemptions" sheetId="4" state="hidden" r:id="rId3"/>
    <sheet name="Projection" sheetId="5" r:id="rId4"/>
    <sheet name="Sheet2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5" l="1"/>
  <c r="H74" i="5"/>
  <c r="I74" i="5"/>
  <c r="J74" i="5"/>
  <c r="K74" i="5" s="1"/>
  <c r="L74" i="5" s="1"/>
  <c r="M74" i="5" s="1"/>
  <c r="N74" i="5" s="1"/>
  <c r="F74" i="5"/>
  <c r="E74" i="5"/>
  <c r="F25" i="5"/>
  <c r="E29" i="5"/>
  <c r="D81" i="5"/>
  <c r="D75" i="5"/>
  <c r="E76" i="5"/>
  <c r="F76" i="5"/>
  <c r="G76" i="5"/>
  <c r="H76" i="5"/>
  <c r="I76" i="5"/>
  <c r="J76" i="5"/>
  <c r="K76" i="5"/>
  <c r="L76" i="5"/>
  <c r="M76" i="5"/>
  <c r="N76" i="5"/>
  <c r="F75" i="5"/>
  <c r="F81" i="5" s="1"/>
  <c r="O25" i="5"/>
  <c r="O26" i="5" s="1"/>
  <c r="G25" i="5"/>
  <c r="E75" i="5"/>
  <c r="E81" i="5" s="1"/>
  <c r="E30" i="5"/>
  <c r="E73" i="5"/>
  <c r="F73" i="5"/>
  <c r="G73" i="5"/>
  <c r="H73" i="5"/>
  <c r="I73" i="5"/>
  <c r="J73" i="5"/>
  <c r="K73" i="5"/>
  <c r="L73" i="5"/>
  <c r="M73" i="5"/>
  <c r="N73" i="5"/>
  <c r="D73" i="5"/>
  <c r="D76" i="5"/>
  <c r="E65" i="5"/>
  <c r="F44" i="5"/>
  <c r="F65" i="5" s="1"/>
  <c r="G65" i="5"/>
  <c r="H65" i="5"/>
  <c r="I65" i="5"/>
  <c r="J65" i="5"/>
  <c r="K65" i="5"/>
  <c r="L65" i="5"/>
  <c r="M65" i="5"/>
  <c r="N65" i="5"/>
  <c r="E38" i="5"/>
  <c r="H25" i="5"/>
  <c r="I25" i="5"/>
  <c r="J25" i="5"/>
  <c r="K25" i="5"/>
  <c r="L25" i="5"/>
  <c r="M25" i="5"/>
  <c r="N25" i="5"/>
  <c r="E26" i="5"/>
  <c r="D55" i="5"/>
  <c r="E7" i="5"/>
  <c r="E10" i="5" s="1"/>
  <c r="E33" i="5" s="1"/>
  <c r="I20" i="5"/>
  <c r="H20" i="5"/>
  <c r="G20" i="5"/>
  <c r="F20" i="5"/>
  <c r="F26" i="5"/>
  <c r="G26" i="5" s="1"/>
  <c r="H26" i="5" s="1"/>
  <c r="I26" i="5" s="1"/>
  <c r="J26" i="5" s="1"/>
  <c r="K26" i="5" s="1"/>
  <c r="L26" i="5" s="1"/>
  <c r="M26" i="5" s="1"/>
  <c r="N26" i="5" s="1"/>
  <c r="E22" i="5"/>
  <c r="E13" i="5"/>
  <c r="F13" i="5"/>
  <c r="D56" i="5"/>
  <c r="D21" i="3"/>
  <c r="C22" i="3"/>
  <c r="C21" i="3"/>
  <c r="K45" i="1"/>
  <c r="V2" i="1"/>
  <c r="I26" i="1"/>
  <c r="K26" i="1"/>
  <c r="B34" i="1"/>
  <c r="B36" i="1" s="1"/>
  <c r="K47" i="1"/>
  <c r="K49" i="1" s="1"/>
  <c r="D26" i="1"/>
  <c r="S31" i="1"/>
  <c r="G75" i="5" l="1"/>
  <c r="G81" i="5" s="1"/>
  <c r="B35" i="1"/>
  <c r="F22" i="5"/>
  <c r="G22" i="5" s="1"/>
  <c r="H22" i="5" s="1"/>
  <c r="I22" i="5" s="1"/>
  <c r="G32" i="1"/>
  <c r="V9" i="1"/>
  <c r="W9" i="1" s="1"/>
  <c r="W10" i="1" s="1"/>
  <c r="D64" i="5"/>
  <c r="O59" i="5"/>
  <c r="P59" i="5"/>
  <c r="Q59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K27" i="4"/>
  <c r="W3" i="1"/>
  <c r="W4" i="1" s="1"/>
  <c r="W2" i="1"/>
  <c r="V4" i="1"/>
  <c r="D14" i="3"/>
  <c r="M41" i="1"/>
  <c r="N41" i="1"/>
  <c r="B11" i="3"/>
  <c r="D44" i="5"/>
  <c r="D48" i="5"/>
  <c r="E47" i="5"/>
  <c r="F47" i="5" s="1"/>
  <c r="E18" i="5"/>
  <c r="E40" i="5" s="1"/>
  <c r="F18" i="5"/>
  <c r="G15" i="5"/>
  <c r="H15" i="5"/>
  <c r="I15" i="5"/>
  <c r="J15" i="5"/>
  <c r="K15" i="5"/>
  <c r="J17" i="5"/>
  <c r="K17" i="5"/>
  <c r="L17" i="5"/>
  <c r="L18" i="5" s="1"/>
  <c r="M17" i="5"/>
  <c r="M18" i="5" s="1"/>
  <c r="N17" i="5"/>
  <c r="N18" i="5" s="1"/>
  <c r="B34" i="5"/>
  <c r="B38" i="5"/>
  <c r="K25" i="1"/>
  <c r="J27" i="4"/>
  <c r="H75" i="5" l="1"/>
  <c r="H81" i="5" s="1"/>
  <c r="E34" i="5"/>
  <c r="F34" i="5" s="1"/>
  <c r="G34" i="5" s="1"/>
  <c r="H34" i="5" s="1"/>
  <c r="I34" i="5" s="1"/>
  <c r="J34" i="5" s="1"/>
  <c r="K34" i="5" s="1"/>
  <c r="L34" i="5" s="1"/>
  <c r="M34" i="5" s="1"/>
  <c r="N34" i="5" s="1"/>
  <c r="F40" i="5"/>
  <c r="F7" i="5"/>
  <c r="T24" i="1"/>
  <c r="W6" i="1"/>
  <c r="V10" i="1"/>
  <c r="I18" i="5"/>
  <c r="J18" i="5"/>
  <c r="K46" i="1"/>
  <c r="M47" i="1"/>
  <c r="N47" i="1" s="1"/>
  <c r="Q47" i="1"/>
  <c r="D6" i="3"/>
  <c r="E64" i="5"/>
  <c r="K18" i="5"/>
  <c r="H18" i="5"/>
  <c r="G47" i="5"/>
  <c r="F48" i="5"/>
  <c r="E48" i="5"/>
  <c r="G18" i="5"/>
  <c r="J22" i="5"/>
  <c r="K22" i="5" s="1"/>
  <c r="L22" i="5" s="1"/>
  <c r="B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D45" i="5"/>
  <c r="R2" i="1"/>
  <c r="I75" i="5" l="1"/>
  <c r="I81" i="5" s="1"/>
  <c r="E44" i="5"/>
  <c r="F38" i="5"/>
  <c r="G38" i="5" s="1"/>
  <c r="H38" i="5" s="1"/>
  <c r="I38" i="5" s="1"/>
  <c r="G40" i="5"/>
  <c r="H40" i="5" s="1"/>
  <c r="I40" i="5" s="1"/>
  <c r="J40" i="5" s="1"/>
  <c r="K40" i="5" s="1"/>
  <c r="L40" i="5" s="1"/>
  <c r="M40" i="5" s="1"/>
  <c r="N40" i="5" s="1"/>
  <c r="G7" i="5"/>
  <c r="F10" i="5"/>
  <c r="F29" i="5" s="1"/>
  <c r="F30" i="5" s="1"/>
  <c r="F36" i="5"/>
  <c r="B50" i="5"/>
  <c r="K29" i="5"/>
  <c r="K30" i="5" s="1"/>
  <c r="H47" i="5"/>
  <c r="G48" i="5"/>
  <c r="M22" i="5"/>
  <c r="L29" i="5"/>
  <c r="L30" i="5" s="1"/>
  <c r="E7" i="1"/>
  <c r="D22" i="3"/>
  <c r="M55" i="1"/>
  <c r="I27" i="4"/>
  <c r="L27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" i="4"/>
  <c r="I22" i="4"/>
  <c r="F22" i="4"/>
  <c r="G22" i="4"/>
  <c r="H22" i="4"/>
  <c r="C22" i="4"/>
  <c r="D22" i="4"/>
  <c r="M29" i="1"/>
  <c r="T25" i="1"/>
  <c r="V20" i="1"/>
  <c r="U15" i="1"/>
  <c r="S30" i="1"/>
  <c r="B14" i="3"/>
  <c r="N42" i="1"/>
  <c r="K64" i="1"/>
  <c r="M42" i="1"/>
  <c r="K29" i="1"/>
  <c r="M2" i="1"/>
  <c r="T2" i="1"/>
  <c r="T3" i="1" s="1"/>
  <c r="V30" i="1"/>
  <c r="W30" i="1" s="1"/>
  <c r="E22" i="1"/>
  <c r="J63" i="1"/>
  <c r="Q64" i="1"/>
  <c r="M63" i="1"/>
  <c r="K63" i="1"/>
  <c r="Y46" i="1"/>
  <c r="M54" i="1"/>
  <c r="M23" i="1"/>
  <c r="M22" i="1"/>
  <c r="M18" i="1"/>
  <c r="J75" i="5" l="1"/>
  <c r="J81" i="5"/>
  <c r="F33" i="5"/>
  <c r="F55" i="5" s="1"/>
  <c r="E50" i="5"/>
  <c r="H7" i="5"/>
  <c r="G10" i="5"/>
  <c r="G29" i="5" s="1"/>
  <c r="G30" i="5" s="1"/>
  <c r="E56" i="5"/>
  <c r="F64" i="5"/>
  <c r="E55" i="5"/>
  <c r="G36" i="5"/>
  <c r="G64" i="5" s="1"/>
  <c r="F56" i="5"/>
  <c r="J38" i="5"/>
  <c r="K38" i="5" s="1"/>
  <c r="L38" i="5" s="1"/>
  <c r="B51" i="5"/>
  <c r="D51" i="5" s="1"/>
  <c r="D50" i="5"/>
  <c r="N2" i="1"/>
  <c r="I47" i="5"/>
  <c r="H48" i="5"/>
  <c r="M29" i="5"/>
  <c r="M30" i="5" s="1"/>
  <c r="N22" i="5"/>
  <c r="N29" i="5" s="1"/>
  <c r="N30" i="5" s="1"/>
  <c r="L10" i="4"/>
  <c r="T23" i="1"/>
  <c r="L8" i="4"/>
  <c r="L7" i="4"/>
  <c r="L18" i="4"/>
  <c r="L17" i="4"/>
  <c r="L16" i="4"/>
  <c r="L9" i="4"/>
  <c r="L15" i="4"/>
  <c r="L2" i="4"/>
  <c r="L14" i="4"/>
  <c r="L21" i="4"/>
  <c r="L13" i="4"/>
  <c r="L5" i="4"/>
  <c r="L20" i="4"/>
  <c r="L12" i="4"/>
  <c r="L4" i="4"/>
  <c r="E22" i="4"/>
  <c r="L19" i="4"/>
  <c r="L11" i="4"/>
  <c r="L3" i="4"/>
  <c r="J22" i="4"/>
  <c r="L6" i="4"/>
  <c r="K22" i="4"/>
  <c r="V29" i="1"/>
  <c r="W29" i="1" s="1"/>
  <c r="M56" i="1"/>
  <c r="N56" i="1" s="1"/>
  <c r="E14" i="3"/>
  <c r="B7" i="3"/>
  <c r="B6" i="3"/>
  <c r="D3" i="3"/>
  <c r="B3" i="3"/>
  <c r="D24" i="1"/>
  <c r="C24" i="1"/>
  <c r="G3" i="3" s="1"/>
  <c r="I37" i="1"/>
  <c r="G37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E2" i="1"/>
  <c r="S39" i="1"/>
  <c r="S40" i="1" s="1"/>
  <c r="K75" i="5" l="1"/>
  <c r="K81" i="5" s="1"/>
  <c r="F50" i="5"/>
  <c r="G33" i="5"/>
  <c r="G55" i="5" s="1"/>
  <c r="M38" i="5"/>
  <c r="N38" i="5" s="1"/>
  <c r="I7" i="5"/>
  <c r="H10" i="5"/>
  <c r="E45" i="5"/>
  <c r="E60" i="5"/>
  <c r="B52" i="5"/>
  <c r="F60" i="5"/>
  <c r="D11" i="3"/>
  <c r="E11" i="3" s="1"/>
  <c r="J3" i="3"/>
  <c r="H36" i="5"/>
  <c r="H64" i="5" s="1"/>
  <c r="G56" i="5"/>
  <c r="E51" i="5"/>
  <c r="J47" i="5"/>
  <c r="I48" i="5"/>
  <c r="B12" i="3"/>
  <c r="B8" i="3"/>
  <c r="C6" i="3" s="1"/>
  <c r="T41" i="1"/>
  <c r="H24" i="1"/>
  <c r="B9" i="2"/>
  <c r="B8" i="2"/>
  <c r="B6" i="2"/>
  <c r="L75" i="5" l="1"/>
  <c r="L81" i="5" s="1"/>
  <c r="G60" i="5"/>
  <c r="G44" i="5"/>
  <c r="G50" i="5" s="1"/>
  <c r="H33" i="5"/>
  <c r="H55" i="5" s="1"/>
  <c r="H29" i="5"/>
  <c r="H30" i="5" s="1"/>
  <c r="F51" i="5"/>
  <c r="F45" i="5"/>
  <c r="I10" i="5"/>
  <c r="J7" i="5"/>
  <c r="J10" i="5" s="1"/>
  <c r="J29" i="5" s="1"/>
  <c r="J30" i="5" s="1"/>
  <c r="I36" i="5"/>
  <c r="I64" i="5" s="1"/>
  <c r="H56" i="5"/>
  <c r="K47" i="5"/>
  <c r="J48" i="5"/>
  <c r="B18" i="3"/>
  <c r="C7" i="3"/>
  <c r="B17" i="3"/>
  <c r="B4" i="2"/>
  <c r="D2" i="2"/>
  <c r="M15" i="1"/>
  <c r="M16" i="1"/>
  <c r="M17" i="1"/>
  <c r="M11" i="1"/>
  <c r="M12" i="1"/>
  <c r="M13" i="1"/>
  <c r="M3" i="1"/>
  <c r="J24" i="1"/>
  <c r="K33" i="1"/>
  <c r="M75" i="5" l="1"/>
  <c r="M81" i="5" s="1"/>
  <c r="H44" i="5"/>
  <c r="H51" i="5" s="1"/>
  <c r="H60" i="5"/>
  <c r="G45" i="5"/>
  <c r="G51" i="5"/>
  <c r="I33" i="5"/>
  <c r="I29" i="5"/>
  <c r="I30" i="5" s="1"/>
  <c r="I56" i="5"/>
  <c r="J36" i="5"/>
  <c r="J64" i="5" s="1"/>
  <c r="L47" i="5"/>
  <c r="K48" i="5"/>
  <c r="N3" i="1"/>
  <c r="K24" i="1"/>
  <c r="M8" i="1"/>
  <c r="P21" i="1"/>
  <c r="P20" i="1"/>
  <c r="P19" i="1"/>
  <c r="P18" i="1"/>
  <c r="P14" i="1"/>
  <c r="P9" i="1"/>
  <c r="P10" i="1"/>
  <c r="P3" i="1"/>
  <c r="P4" i="1"/>
  <c r="P5" i="1"/>
  <c r="P6" i="1"/>
  <c r="P7" i="1"/>
  <c r="M9" i="1"/>
  <c r="N9" i="1" s="1"/>
  <c r="M10" i="1"/>
  <c r="N10" i="1" s="1"/>
  <c r="M14" i="1"/>
  <c r="N14" i="1" s="1"/>
  <c r="N18" i="1"/>
  <c r="M19" i="1"/>
  <c r="M20" i="1"/>
  <c r="N20" i="1" s="1"/>
  <c r="M21" i="1"/>
  <c r="N21" i="1" s="1"/>
  <c r="M4" i="1"/>
  <c r="M5" i="1"/>
  <c r="M6" i="1"/>
  <c r="M7" i="1"/>
  <c r="N7" i="1" s="1"/>
  <c r="F24" i="1"/>
  <c r="G24" i="1"/>
  <c r="G25" i="1" s="1"/>
  <c r="P8" i="1"/>
  <c r="P2" i="1"/>
  <c r="I24" i="1"/>
  <c r="N75" i="5" l="1"/>
  <c r="N81" i="5" s="1"/>
  <c r="H50" i="5"/>
  <c r="H45" i="5"/>
  <c r="I55" i="5"/>
  <c r="I60" i="5" s="1"/>
  <c r="J33" i="5"/>
  <c r="I44" i="5"/>
  <c r="G31" i="1"/>
  <c r="I29" i="1"/>
  <c r="Q2" i="1"/>
  <c r="K36" i="5"/>
  <c r="K64" i="5" s="1"/>
  <c r="J56" i="5"/>
  <c r="R8" i="1"/>
  <c r="N8" i="1"/>
  <c r="M24" i="1"/>
  <c r="Q24" i="1" s="1"/>
  <c r="K36" i="1"/>
  <c r="K37" i="1" s="1"/>
  <c r="M47" i="5"/>
  <c r="L48" i="5"/>
  <c r="S2" i="1"/>
  <c r="Q9" i="1"/>
  <c r="Q21" i="1"/>
  <c r="Q17" i="1"/>
  <c r="Q6" i="1"/>
  <c r="Q10" i="1"/>
  <c r="Q22" i="1"/>
  <c r="Q11" i="1"/>
  <c r="Q23" i="1"/>
  <c r="Q20" i="1"/>
  <c r="Q12" i="1"/>
  <c r="Q19" i="1"/>
  <c r="Q13" i="1"/>
  <c r="Q14" i="1"/>
  <c r="Q15" i="1"/>
  <c r="Q16" i="1"/>
  <c r="Q3" i="1"/>
  <c r="Q4" i="1"/>
  <c r="Q5" i="1"/>
  <c r="Q18" i="1"/>
  <c r="Q7" i="1"/>
  <c r="Q8" i="1"/>
  <c r="C3" i="3"/>
  <c r="N19" i="1"/>
  <c r="N6" i="1"/>
  <c r="N5" i="1"/>
  <c r="N4" i="1"/>
  <c r="J55" i="5" l="1"/>
  <c r="J60" i="5" s="1"/>
  <c r="J44" i="5"/>
  <c r="K33" i="5"/>
  <c r="K44" i="5" s="1"/>
  <c r="K50" i="5" s="1"/>
  <c r="I45" i="5"/>
  <c r="I50" i="5"/>
  <c r="I51" i="5"/>
  <c r="L36" i="5"/>
  <c r="L64" i="5" s="1"/>
  <c r="K56" i="5"/>
  <c r="N47" i="5"/>
  <c r="N48" i="5" s="1"/>
  <c r="M48" i="5"/>
  <c r="Q45" i="1"/>
  <c r="M45" i="1"/>
  <c r="N45" i="1" s="1"/>
  <c r="D25" i="3"/>
  <c r="K51" i="1"/>
  <c r="K52" i="1" s="1"/>
  <c r="K55" i="5" l="1"/>
  <c r="K60" i="5" s="1"/>
  <c r="L33" i="5"/>
  <c r="J51" i="5"/>
  <c r="J50" i="5"/>
  <c r="J45" i="5"/>
  <c r="L44" i="5"/>
  <c r="L51" i="5" s="1"/>
  <c r="K51" i="5"/>
  <c r="K45" i="5"/>
  <c r="M36" i="5"/>
  <c r="M64" i="5" s="1"/>
  <c r="L56" i="5"/>
  <c r="T47" i="1"/>
  <c r="D27" i="3"/>
  <c r="M46" i="1"/>
  <c r="N46" i="1" s="1"/>
  <c r="Q46" i="1"/>
  <c r="D26" i="3"/>
  <c r="S45" i="1"/>
  <c r="P48" i="1"/>
  <c r="L55" i="5" l="1"/>
  <c r="L60" i="5" s="1"/>
  <c r="M33" i="5"/>
  <c r="M44" i="5" s="1"/>
  <c r="M51" i="5" s="1"/>
  <c r="L45" i="5"/>
  <c r="L50" i="5"/>
  <c r="N36" i="5"/>
  <c r="M56" i="5"/>
  <c r="S46" i="1"/>
  <c r="U47" i="1"/>
  <c r="S47" i="1"/>
  <c r="T49" i="1"/>
  <c r="D7" i="3"/>
  <c r="D12" i="3" s="1"/>
  <c r="M55" i="5" l="1"/>
  <c r="M60" i="5" s="1"/>
  <c r="N33" i="5"/>
  <c r="N55" i="5" s="1"/>
  <c r="M50" i="5"/>
  <c r="M45" i="5"/>
  <c r="N56" i="5"/>
  <c r="N60" i="5" s="1"/>
  <c r="N64" i="5"/>
  <c r="N44" i="5"/>
  <c r="E12" i="3"/>
  <c r="D8" i="3"/>
  <c r="D18" i="3" s="1"/>
  <c r="N50" i="5" l="1"/>
  <c r="N51" i="5"/>
  <c r="N45" i="5"/>
  <c r="E7" i="3"/>
  <c r="E6" i="3"/>
  <c r="D17" i="3"/>
  <c r="E17" i="3" s="1"/>
  <c r="E18" i="3"/>
  <c r="P46" i="1"/>
  <c r="P47" i="1"/>
  <c r="P45" i="1"/>
  <c r="T42" i="1"/>
</calcChain>
</file>

<file path=xl/sharedStrings.xml><?xml version="1.0" encoding="utf-8"?>
<sst xmlns="http://schemas.openxmlformats.org/spreadsheetml/2006/main" count="238" uniqueCount="212">
  <si>
    <t>Budget Year</t>
  </si>
  <si>
    <t>Sup #20</t>
  </si>
  <si>
    <t>Certified Estimates</t>
  </si>
  <si>
    <t>Lowest</t>
  </si>
  <si>
    <t># Of Protest</t>
  </si>
  <si>
    <t>% In Protest</t>
  </si>
  <si>
    <t>Tax Base</t>
  </si>
  <si>
    <t>Tax Rate</t>
  </si>
  <si>
    <t>Proportion of Rate</t>
  </si>
  <si>
    <t xml:space="preserve">   M&amp;O</t>
  </si>
  <si>
    <t xml:space="preserve">   I&amp;S</t>
  </si>
  <si>
    <t>Total Rate</t>
  </si>
  <si>
    <t>Tax Revenue</t>
  </si>
  <si>
    <t>Revenue Growth</t>
  </si>
  <si>
    <t>TIRZ Rev.</t>
  </si>
  <si>
    <t>Rev-TIRZ</t>
  </si>
  <si>
    <t>Growth in Taxable Values</t>
  </si>
  <si>
    <t>New Taxable Values</t>
  </si>
  <si>
    <t>Tax Rate Calculations</t>
  </si>
  <si>
    <t>Effective</t>
  </si>
  <si>
    <t>Voter Approved</t>
  </si>
  <si>
    <t xml:space="preserve">De Minimus </t>
  </si>
  <si>
    <t>HS Properties</t>
  </si>
  <si>
    <t>Non-HS Properties</t>
  </si>
  <si>
    <t>Taxable Value</t>
  </si>
  <si>
    <t># of Properties</t>
  </si>
  <si>
    <t>% of Res. Properties</t>
  </si>
  <si>
    <t>Code</t>
  </si>
  <si>
    <t>Description</t>
  </si>
  <si>
    <t>2022 
Count</t>
  </si>
  <si>
    <t>2021
Count</t>
  </si>
  <si>
    <t>%
Change</t>
  </si>
  <si>
    <t>Acres</t>
  </si>
  <si>
    <t>New Value</t>
  </si>
  <si>
    <t>Market Value</t>
  </si>
  <si>
    <t>2022 Taxable Value</t>
  </si>
  <si>
    <t>Supplimental #20</t>
  </si>
  <si>
    <t>2021 Cert Taxable</t>
  </si>
  <si>
    <t>Existing Taxable Value Growth</t>
  </si>
  <si>
    <t>%</t>
  </si>
  <si>
    <t>Existing Market Value Growth</t>
  </si>
  <si>
    <t>% of Base</t>
  </si>
  <si>
    <t>A</t>
  </si>
  <si>
    <t xml:space="preserve">SINGLE FAMILY RESIDENCE </t>
  </si>
  <si>
    <t>B</t>
  </si>
  <si>
    <t>MULTIFAMILY RESIDENCE</t>
  </si>
  <si>
    <t>C1</t>
  </si>
  <si>
    <t>VACANT LOTS AND LAND TRACTS</t>
  </si>
  <si>
    <t>D1</t>
  </si>
  <si>
    <t xml:space="preserve">QUALIFIED AG LAND </t>
  </si>
  <si>
    <t>D2</t>
  </si>
  <si>
    <t>NON-QUALIFIED LAND</t>
  </si>
  <si>
    <t>E</t>
  </si>
  <si>
    <t xml:space="preserve">FARM OR RANCH IMPROVEMENT </t>
  </si>
  <si>
    <t>F1</t>
  </si>
  <si>
    <t xml:space="preserve">COMMERCIAL REAL PROPERTY </t>
  </si>
  <si>
    <t>F2</t>
  </si>
  <si>
    <t xml:space="preserve">INDUSTRIAL REAL PROPERTY </t>
  </si>
  <si>
    <t>G1</t>
  </si>
  <si>
    <t>OIL AND GAS</t>
  </si>
  <si>
    <t>J1</t>
  </si>
  <si>
    <t>WATER SYSTEMS</t>
  </si>
  <si>
    <t>J2</t>
  </si>
  <si>
    <t>GAS DISTRIBUTION SYSTEM</t>
  </si>
  <si>
    <t>J3</t>
  </si>
  <si>
    <t xml:space="preserve">ELECTRIC COMPANY (INCLUDING C </t>
  </si>
  <si>
    <t>J4</t>
  </si>
  <si>
    <t xml:space="preserve">TELEPHONE COMPANY (INCLUDI </t>
  </si>
  <si>
    <t>J6</t>
  </si>
  <si>
    <t>PIPELAND COMPANY</t>
  </si>
  <si>
    <t>J7</t>
  </si>
  <si>
    <t xml:space="preserve">CABLE TELEVISION COMPANY </t>
  </si>
  <si>
    <t>J8</t>
  </si>
  <si>
    <t xml:space="preserve">OTHER TYPE OF UTILITY </t>
  </si>
  <si>
    <t>L1</t>
  </si>
  <si>
    <t xml:space="preserve">COMMERCIAL PERSONAL PROPE </t>
  </si>
  <si>
    <t>L2</t>
  </si>
  <si>
    <t>INDUSTRIAL PERSONAL PROPERT</t>
  </si>
  <si>
    <t>M1</t>
  </si>
  <si>
    <t xml:space="preserve">TANGIBLE OTHER PERSONAL, MOB </t>
  </si>
  <si>
    <t>O</t>
  </si>
  <si>
    <t>RESIDENTIAL INVENTORY</t>
  </si>
  <si>
    <t>S</t>
  </si>
  <si>
    <t>SPECIAL INVENTORY TAX</t>
  </si>
  <si>
    <t>X</t>
  </si>
  <si>
    <t xml:space="preserve">TOTALLY EXEMPT PROPERTY </t>
  </si>
  <si>
    <t>Totals</t>
  </si>
  <si>
    <t>#26</t>
  </si>
  <si>
    <t>ARB+Lowet</t>
  </si>
  <si>
    <t>New Taxable</t>
  </si>
  <si>
    <t>Growth of Base</t>
  </si>
  <si>
    <t>Suplimental #20</t>
  </si>
  <si>
    <t>TIRZ Revenue</t>
  </si>
  <si>
    <t>Variance</t>
  </si>
  <si>
    <t>FY 2021</t>
  </si>
  <si>
    <t>FY 2022</t>
  </si>
  <si>
    <t>FY 2023</t>
  </si>
  <si>
    <t>NT Revenue</t>
  </si>
  <si>
    <t>500K-Tax Rate Equivalent</t>
  </si>
  <si>
    <t>Annexations</t>
  </si>
  <si>
    <t>Est. Rev.</t>
  </si>
  <si>
    <t>Minus TIRZ</t>
  </si>
  <si>
    <t>M&amp;O Rate</t>
  </si>
  <si>
    <t>I&amp;S Rate</t>
  </si>
  <si>
    <t>Base Revenue</t>
  </si>
  <si>
    <t>New Base Rev.</t>
  </si>
  <si>
    <t>Total New Rev</t>
  </si>
  <si>
    <t>New Rev</t>
  </si>
  <si>
    <t>Estimated Additional Revenue</t>
  </si>
  <si>
    <t>I&amp;S</t>
  </si>
  <si>
    <t>M&amp;O Proportion</t>
  </si>
  <si>
    <t>Change</t>
  </si>
  <si>
    <t>2022 
Local</t>
  </si>
  <si>
    <t>2022
State</t>
  </si>
  <si>
    <t>2021
Local</t>
  </si>
  <si>
    <t>2021
State</t>
  </si>
  <si>
    <t>2022
Total</t>
  </si>
  <si>
    <t>2021
Total</t>
  </si>
  <si>
    <t>AB</t>
  </si>
  <si>
    <t>Abatement</t>
  </si>
  <si>
    <t>DP</t>
  </si>
  <si>
    <t>Disability</t>
  </si>
  <si>
    <t>DV1</t>
  </si>
  <si>
    <t>Disable Veteran - 10%-29%</t>
  </si>
  <si>
    <t>DV1S</t>
  </si>
  <si>
    <t>Disable Veteran - Surviving Spouse 10%-29%</t>
  </si>
  <si>
    <t>DV2</t>
  </si>
  <si>
    <t>Disable Veteran - 30%-49%</t>
  </si>
  <si>
    <t>DV3</t>
  </si>
  <si>
    <t>Disable Veteran - 50%-69%</t>
  </si>
  <si>
    <t>DV3S</t>
  </si>
  <si>
    <t>Disable Veteran - Surviving Spouse 50%-69%</t>
  </si>
  <si>
    <t>DV4</t>
  </si>
  <si>
    <t>Disable Veteran - 70%-100%</t>
  </si>
  <si>
    <t>DV4S</t>
  </si>
  <si>
    <t>Disable Veteran - Surviving Spouse 70%-100%</t>
  </si>
  <si>
    <t>DVHS</t>
  </si>
  <si>
    <t>Disable Veteran Homestead</t>
  </si>
  <si>
    <t>DVHSS</t>
  </si>
  <si>
    <t>Disable Veteran Homestead Surviving Spouse</t>
  </si>
  <si>
    <t>EX</t>
  </si>
  <si>
    <t>Exempt</t>
  </si>
  <si>
    <t>EX-XR</t>
  </si>
  <si>
    <t>Exempt- Water</t>
  </si>
  <si>
    <t>EX-XV</t>
  </si>
  <si>
    <t>Exempt-Other</t>
  </si>
  <si>
    <t>EX366</t>
  </si>
  <si>
    <t>Exempt-HB366</t>
  </si>
  <si>
    <t>FR</t>
  </si>
  <si>
    <t>Free Port</t>
  </si>
  <si>
    <t>HS</t>
  </si>
  <si>
    <t>Homestead</t>
  </si>
  <si>
    <t>OV65</t>
  </si>
  <si>
    <t>Over 65 Exemption</t>
  </si>
  <si>
    <t>OV65S</t>
  </si>
  <si>
    <t>PC</t>
  </si>
  <si>
    <t>Pollution Control</t>
  </si>
  <si>
    <t>Average Home Value</t>
  </si>
  <si>
    <t>Current Exemption</t>
  </si>
  <si>
    <t>Proposed Increase (10% of Average Home Value)</t>
  </si>
  <si>
    <t>Proposed Exemption</t>
  </si>
  <si>
    <t>Average Tax Savings Per Qualified Houehold</t>
  </si>
  <si>
    <t># Of Accounts that Qualify</t>
  </si>
  <si>
    <t>Total Estimated Revenue Lost</t>
  </si>
  <si>
    <t>(Units Completed in Prior Fiscal Year)</t>
  </si>
  <si>
    <t>New Units</t>
  </si>
  <si>
    <t>FY2022</t>
  </si>
  <si>
    <t>FY2023</t>
  </si>
  <si>
    <t>FY2024</t>
  </si>
  <si>
    <t>FY2025</t>
  </si>
  <si>
    <t>FY2026</t>
  </si>
  <si>
    <t>FY2027</t>
  </si>
  <si>
    <t>FY2028</t>
  </si>
  <si>
    <t>FY2029</t>
  </si>
  <si>
    <t>FY2030</t>
  </si>
  <si>
    <t>FY2031</t>
  </si>
  <si>
    <t>FY2032</t>
  </si>
  <si>
    <t>FY2033</t>
  </si>
  <si>
    <t xml:space="preserve">Town </t>
  </si>
  <si>
    <t>Multi-Family</t>
  </si>
  <si>
    <t>Harvest</t>
  </si>
  <si>
    <t xml:space="preserve">Average Taxable Value </t>
  </si>
  <si>
    <t>Increase</t>
  </si>
  <si>
    <t>New Residential Taxable Value</t>
  </si>
  <si>
    <t>New Commercial Warehouse Square Footage</t>
  </si>
  <si>
    <t>Phase I (Catherine Branch) - 7M</t>
  </si>
  <si>
    <t>Phase 1.5 (DDM &amp; MM) - 2.5M</t>
  </si>
  <si>
    <t>Phase 2 (Hillwood, Provident ) - 12M</t>
  </si>
  <si>
    <t>Phace 3 (Henery &amp; Smith) - 6.5M</t>
  </si>
  <si>
    <t>Phase 3 (Ketchersid, Slaughter &amp; Cope) - 5M</t>
  </si>
  <si>
    <t>Total</t>
  </si>
  <si>
    <t>The Ridge Commercial</t>
  </si>
  <si>
    <t>Average Taxable Value</t>
  </si>
  <si>
    <t>New Commercial Warehouse Value</t>
  </si>
  <si>
    <t>BPP</t>
  </si>
  <si>
    <t>Apartments</t>
  </si>
  <si>
    <t>Existing Values</t>
  </si>
  <si>
    <t>Residential</t>
  </si>
  <si>
    <t xml:space="preserve">   Homestead</t>
  </si>
  <si>
    <t xml:space="preserve">   Non-Homestead</t>
  </si>
  <si>
    <t>Commercial/Industrial</t>
  </si>
  <si>
    <t>Other</t>
  </si>
  <si>
    <t>Total Taxable Value</t>
  </si>
  <si>
    <t>Percent Increase</t>
  </si>
  <si>
    <t>CF Values</t>
  </si>
  <si>
    <t>CF Revenue</t>
  </si>
  <si>
    <t>M&amp;O</t>
  </si>
  <si>
    <t>Commercial</t>
  </si>
  <si>
    <t>Catherine Branch Projects</t>
  </si>
  <si>
    <t>I&amp;S Projections</t>
  </si>
  <si>
    <t>Catherine Branch</t>
  </si>
  <si>
    <t>TIRZ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</si>
</sst>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0.000000"/>
    <numFmt numFmtId="168" formatCode="_(&quot;$&quot;* #,##0.000000_);_(&quot;$&quot;* \(#,##0.000000\);_(&quot;$&quot;* &quot;-&quot;??_);_(@_)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6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43" fontId="2" fillId="0" borderId="0" xfId="1" applyFont="1"/>
    <xf numFmtId="165" fontId="0" fillId="0" borderId="0" xfId="2" applyNumberFormat="1" applyFont="1"/>
    <xf numFmtId="165" fontId="2" fillId="0" borderId="0" xfId="2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9" fontId="0" fillId="0" borderId="0" xfId="3" applyFon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43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0" fillId="0" borderId="0" xfId="1" applyNumberFormat="1" applyFont="1" applyFill="1"/>
    <xf numFmtId="3" fontId="2" fillId="0" borderId="0" xfId="0" applyNumberFormat="1" applyFont="1"/>
    <xf numFmtId="165" fontId="2" fillId="0" borderId="0" xfId="0" applyNumberFormat="1" applyFont="1"/>
    <xf numFmtId="9" fontId="2" fillId="0" borderId="0" xfId="3" applyFont="1"/>
    <xf numFmtId="43" fontId="2" fillId="0" borderId="1" xfId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0" xfId="3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0" fillId="0" borderId="1" xfId="0" applyNumberFormat="1" applyBorder="1"/>
    <xf numFmtId="9" fontId="0" fillId="0" borderId="0" xfId="3" applyFont="1"/>
    <xf numFmtId="164" fontId="0" fillId="0" borderId="0" xfId="0" applyNumberFormat="1"/>
    <xf numFmtId="9" fontId="0" fillId="0" borderId="1" xfId="3" applyFont="1" applyBorder="1" applyAlignment="1">
      <alignment horizontal="center"/>
    </xf>
    <xf numFmtId="44" fontId="0" fillId="0" borderId="0" xfId="0" applyNumberFormat="1"/>
    <xf numFmtId="44" fontId="0" fillId="0" borderId="0" xfId="2" applyFont="1"/>
    <xf numFmtId="168" fontId="0" fillId="0" borderId="0" xfId="0" applyNumberFormat="1"/>
    <xf numFmtId="166" fontId="2" fillId="0" borderId="0" xfId="1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43" fontId="2" fillId="0" borderId="0" xfId="1" applyFont="1" applyAlignment="1">
      <alignment horizontal="right"/>
    </xf>
    <xf numFmtId="43" fontId="0" fillId="0" borderId="0" xfId="0" applyNumberFormat="1"/>
    <xf numFmtId="165" fontId="2" fillId="0" borderId="0" xfId="2" applyNumberFormat="1" applyFont="1" applyAlignment="1">
      <alignment horizontal="right"/>
    </xf>
    <xf numFmtId="164" fontId="2" fillId="0" borderId="1" xfId="1" applyNumberFormat="1" applyFont="1" applyBorder="1" applyAlignment="1">
      <alignment horizontal="center" wrapText="1"/>
    </xf>
    <xf numFmtId="164" fontId="6" fillId="0" borderId="0" xfId="1" applyNumberFormat="1" applyFont="1"/>
    <xf numFmtId="9" fontId="0" fillId="0" borderId="1" xfId="3" applyFont="1" applyBorder="1"/>
    <xf numFmtId="9" fontId="6" fillId="0" borderId="0" xfId="3" applyFont="1"/>
    <xf numFmtId="10" fontId="0" fillId="0" borderId="0" xfId="3" applyNumberFormat="1" applyFont="1"/>
    <xf numFmtId="10" fontId="2" fillId="0" borderId="0" xfId="3" applyNumberFormat="1" applyFont="1" applyAlignment="1">
      <alignment horizontal="center"/>
    </xf>
    <xf numFmtId="164" fontId="0" fillId="0" borderId="0" xfId="1" applyNumberFormat="1" applyFont="1" applyBorder="1"/>
    <xf numFmtId="165" fontId="2" fillId="0" borderId="2" xfId="2" applyNumberFormat="1" applyFont="1" applyBorder="1"/>
    <xf numFmtId="0" fontId="5" fillId="0" borderId="0" xfId="0" applyFont="1"/>
    <xf numFmtId="168" fontId="0" fillId="0" borderId="0" xfId="2" applyNumberFormat="1" applyFont="1"/>
    <xf numFmtId="168" fontId="0" fillId="0" borderId="1" xfId="2" applyNumberFormat="1" applyFont="1" applyBorder="1"/>
    <xf numFmtId="43" fontId="7" fillId="0" borderId="0" xfId="1" applyFont="1" applyAlignment="1">
      <alignment horizontal="center"/>
    </xf>
    <xf numFmtId="167" fontId="0" fillId="0" borderId="0" xfId="0" applyNumberFormat="1"/>
    <xf numFmtId="9" fontId="8" fillId="0" borderId="0" xfId="4" applyNumberFormat="1" applyFont="1" applyFill="1" applyAlignment="1">
      <alignment horizontal="center"/>
    </xf>
    <xf numFmtId="9" fontId="8" fillId="0" borderId="0" xfId="3" applyFont="1" applyFill="1" applyAlignment="1">
      <alignment horizontal="center"/>
    </xf>
    <xf numFmtId="165" fontId="2" fillId="0" borderId="1" xfId="2" applyNumberFormat="1" applyFont="1" applyBorder="1" applyAlignment="1">
      <alignment horizontal="center" wrapText="1"/>
    </xf>
    <xf numFmtId="164" fontId="0" fillId="0" borderId="1" xfId="1" applyNumberFormat="1" applyFont="1" applyFill="1" applyBorder="1"/>
    <xf numFmtId="9" fontId="8" fillId="0" borderId="1" xfId="4" applyNumberFormat="1" applyFont="1" applyFill="1" applyBorder="1" applyAlignment="1">
      <alignment horizontal="center"/>
    </xf>
    <xf numFmtId="164" fontId="8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9" fontId="2" fillId="0" borderId="1" xfId="3" applyFont="1" applyBorder="1" applyAlignment="1">
      <alignment horizontal="center" wrapText="1"/>
    </xf>
    <xf numFmtId="165" fontId="0" fillId="0" borderId="0" xfId="2" applyNumberFormat="1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9" fontId="0" fillId="0" borderId="0" xfId="0" applyNumberFormat="1"/>
    <xf numFmtId="169" fontId="0" fillId="0" borderId="0" xfId="3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167" fontId="0" fillId="0" borderId="1" xfId="0" applyNumberFormat="1" applyBorder="1"/>
    <xf numFmtId="0" fontId="11" fillId="0" borderId="0" xfId="0" applyFont="1" applyAlignment="1">
      <alignment horizontal="center"/>
    </xf>
  </cellXfs>
  <cellStyles count="5">
    <cellStyle name="Bad" xfId="4" builtinId="27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 Property Tax Base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Projection!$C$74</c:f>
              <c:strCache>
                <c:ptCount val="1"/>
                <c:pt idx="0">
                  <c:v>Catherine Branch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Projection!$D$73:$N$73</c:f>
              <c:strCache>
                <c:ptCount val="11"/>
                <c:pt idx="0">
                  <c:v>FY2023</c:v>
                </c:pt>
                <c:pt idx="1">
                  <c:v>FY2024</c:v>
                </c:pt>
                <c:pt idx="2">
                  <c:v>FY2025</c:v>
                </c:pt>
                <c:pt idx="3">
                  <c:v>FY2026</c:v>
                </c:pt>
                <c:pt idx="4">
                  <c:v>FY2027</c:v>
                </c:pt>
                <c:pt idx="5">
                  <c:v>FY2028</c:v>
                </c:pt>
                <c:pt idx="6">
                  <c:v>FY2029</c:v>
                </c:pt>
                <c:pt idx="7">
                  <c:v>FY2030</c:v>
                </c:pt>
                <c:pt idx="8">
                  <c:v>FY2031</c:v>
                </c:pt>
                <c:pt idx="9">
                  <c:v>FY2032</c:v>
                </c:pt>
                <c:pt idx="10">
                  <c:v>FY2033</c:v>
                </c:pt>
              </c:strCache>
            </c:strRef>
          </c:cat>
          <c:val>
            <c:numRef>
              <c:f>Projection!$D$74:$N$74</c:f>
              <c:numCache>
                <c:formatCode>_(* #,##0.00_);_(* \(#,##0.00\);_(* "-"??_);_(@_)</c:formatCode>
                <c:ptCount val="11"/>
                <c:pt idx="1">
                  <c:v>220000000</c:v>
                </c:pt>
                <c:pt idx="2">
                  <c:v>373015000</c:v>
                </c:pt>
                <c:pt idx="3">
                  <c:v>751650617.5</c:v>
                </c:pt>
                <c:pt idx="4">
                  <c:v>1290163192.675</c:v>
                </c:pt>
                <c:pt idx="5">
                  <c:v>1636996509.2079999</c:v>
                </c:pt>
                <c:pt idx="6">
                  <c:v>1987298158.9063299</c:v>
                </c:pt>
                <c:pt idx="7">
                  <c:v>2341102825.1016431</c:v>
                </c:pt>
                <c:pt idx="8">
                  <c:v>2503531330.9458551</c:v>
                </c:pt>
                <c:pt idx="9">
                  <c:v>2667584121.8485093</c:v>
                </c:pt>
                <c:pt idx="10">
                  <c:v>2750430781.2543497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4-4568-823D-CF0DBC6EE335}"/>
            </c:ext>
          </c:extLst>
        </c:ser>
        <c:ser>
          <c:idx val="1"/>
          <c:order val="1"/>
          <c:tx>
            <c:strRef>
              <c:f>Projection!$C$75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Projection!$D$73:$N$73</c:f>
              <c:strCache>
                <c:ptCount val="11"/>
                <c:pt idx="0">
                  <c:v>FY2023</c:v>
                </c:pt>
                <c:pt idx="1">
                  <c:v>FY2024</c:v>
                </c:pt>
                <c:pt idx="2">
                  <c:v>FY2025</c:v>
                </c:pt>
                <c:pt idx="3">
                  <c:v>FY2026</c:v>
                </c:pt>
                <c:pt idx="4">
                  <c:v>FY2027</c:v>
                </c:pt>
                <c:pt idx="5">
                  <c:v>FY2028</c:v>
                </c:pt>
                <c:pt idx="6">
                  <c:v>FY2029</c:v>
                </c:pt>
                <c:pt idx="7">
                  <c:v>FY2030</c:v>
                </c:pt>
                <c:pt idx="8">
                  <c:v>FY2031</c:v>
                </c:pt>
                <c:pt idx="9">
                  <c:v>FY2032</c:v>
                </c:pt>
                <c:pt idx="10">
                  <c:v>FY2033</c:v>
                </c:pt>
              </c:strCache>
            </c:strRef>
          </c:cat>
          <c:val>
            <c:numRef>
              <c:f>Projection!$D$75:$N$75</c:f>
              <c:numCache>
                <c:formatCode>_(* #,##0.00_);_(* \(#,##0.00\);_(* "-"??_);_(@_)</c:formatCode>
                <c:ptCount val="11"/>
                <c:pt idx="0">
                  <c:v>1024000000</c:v>
                </c:pt>
                <c:pt idx="1">
                  <c:v>1281580000</c:v>
                </c:pt>
                <c:pt idx="2">
                  <c:v>1460613300</c:v>
                </c:pt>
                <c:pt idx="3">
                  <c:v>1622123905.5</c:v>
                </c:pt>
                <c:pt idx="4">
                  <c:v>1841749173.7299998</c:v>
                </c:pt>
                <c:pt idx="5">
                  <c:v>2003984842.2627995</c:v>
                </c:pt>
                <c:pt idx="6">
                  <c:v>2165939208.1462584</c:v>
                </c:pt>
                <c:pt idx="7">
                  <c:v>2333806792.060535</c:v>
                </c:pt>
                <c:pt idx="8">
                  <c:v>2442749886.906971</c:v>
                </c:pt>
                <c:pt idx="9">
                  <c:v>2555278398.0675015</c:v>
                </c:pt>
                <c:pt idx="10">
                  <c:v>2643872454.4359322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4-4568-823D-CF0DBC6EE335}"/>
            </c:ext>
          </c:extLst>
        </c:ser>
        <c:ser>
          <c:idx val="2"/>
          <c:order val="2"/>
          <c:tx>
            <c:strRef>
              <c:f>Projection!$C$76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Projection!$D$73:$N$73</c:f>
              <c:strCache>
                <c:ptCount val="11"/>
                <c:pt idx="0">
                  <c:v>FY2023</c:v>
                </c:pt>
                <c:pt idx="1">
                  <c:v>FY2024</c:v>
                </c:pt>
                <c:pt idx="2">
                  <c:v>FY2025</c:v>
                </c:pt>
                <c:pt idx="3">
                  <c:v>FY2026</c:v>
                </c:pt>
                <c:pt idx="4">
                  <c:v>FY2027</c:v>
                </c:pt>
                <c:pt idx="5">
                  <c:v>FY2028</c:v>
                </c:pt>
                <c:pt idx="6">
                  <c:v>FY2029</c:v>
                </c:pt>
                <c:pt idx="7">
                  <c:v>FY2030</c:v>
                </c:pt>
                <c:pt idx="8">
                  <c:v>FY2031</c:v>
                </c:pt>
                <c:pt idx="9">
                  <c:v>FY2032</c:v>
                </c:pt>
                <c:pt idx="10">
                  <c:v>FY2033</c:v>
                </c:pt>
              </c:strCache>
            </c:strRef>
          </c:cat>
          <c:val>
            <c:numRef>
              <c:f>Projection!$D$76:$N$76</c:f>
              <c:numCache>
                <c:formatCode>_(* #,##0_);_(* \(#,##0\);_(* "-"??_);_(@_)</c:formatCode>
                <c:ptCount val="11"/>
                <c:pt idx="0">
                  <c:v>923900000</c:v>
                </c:pt>
                <c:pt idx="1">
                  <c:v>1204994999.9999998</c:v>
                </c:pt>
                <c:pt idx="2">
                  <c:v>1418942249.9999998</c:v>
                </c:pt>
                <c:pt idx="3">
                  <c:v>1646395334.9999995</c:v>
                </c:pt>
                <c:pt idx="4">
                  <c:v>1888037860.3874993</c:v>
                </c:pt>
                <c:pt idx="5">
                  <c:v>2144584753.3951864</c:v>
                </c:pt>
                <c:pt idx="6">
                  <c:v>2416783618.9192963</c:v>
                </c:pt>
                <c:pt idx="7">
                  <c:v>2501851469.8686357</c:v>
                </c:pt>
                <c:pt idx="8">
                  <c:v>2589920716.8155603</c:v>
                </c:pt>
                <c:pt idx="9">
                  <c:v>2681097609.6807027</c:v>
                </c:pt>
                <c:pt idx="10">
                  <c:v>2775492177.1849556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4-4568-823D-CF0DBC6EE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161903"/>
        <c:axId val="626434175"/>
      </c:areaChart>
      <c:catAx>
        <c:axId val="44016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34175"/>
        <c:crosses val="autoZero"/>
        <c:auto val="1"/>
        <c:lblAlgn val="ctr"/>
        <c:lblOffset val="100"/>
        <c:noMultiLvlLbl val="0"/>
      </c:catAx>
      <c:valAx>
        <c:axId val="62643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161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82</xdr:row>
      <xdr:rowOff>9525</xdr:rowOff>
    </xdr:from>
    <xdr:to>
      <xdr:col>10</xdr:col>
      <xdr:colOff>485775</xdr:colOff>
      <xdr:row>102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F0566B-0793-B5E1-C695-67A8A5E1F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A6EA-DEBF-4B55-A59D-F0A934E593C7}">
  <dimension ref="A1:J33"/>
  <sheetViews>
    <sheetView workbookViewId="0">
      <selection activeCell="C21" sqref="C21:D21"/>
    </sheetView>
  </sheetViews>
  <sheetFormatPr defaultColWidth="8.85546875" defaultRowHeight="15" x14ac:dyDescent="0.25"/>
  <cols>
    <col min="1" max="1" width="12.28515625" bestFit="1" customWidth="1"/>
    <col min="2" max="3" width="18" bestFit="1" customWidth="1"/>
    <col min="4" max="4" width="19.85546875" bestFit="1" customWidth="1"/>
    <col min="5" max="5" width="19.140625" customWidth="1"/>
    <col min="6" max="6" width="13.7109375" bestFit="1" customWidth="1"/>
    <col min="7" max="7" width="15.28515625" bestFit="1" customWidth="1"/>
    <col min="10" max="10" width="15.28515625" bestFit="1" customWidth="1"/>
  </cols>
  <sheetData>
    <row r="1" spans="1:10" x14ac:dyDescent="0.25">
      <c r="A1" s="3" t="s">
        <v>0</v>
      </c>
      <c r="B1" s="9">
        <v>2021</v>
      </c>
      <c r="C1" s="9">
        <v>2022</v>
      </c>
      <c r="D1" s="9">
        <v>2022</v>
      </c>
    </row>
    <row r="2" spans="1:10" x14ac:dyDescent="0.25">
      <c r="B2" s="24" t="s">
        <v>1</v>
      </c>
      <c r="C2" s="24" t="s">
        <v>2</v>
      </c>
      <c r="D2" s="24" t="s">
        <v>3</v>
      </c>
      <c r="F2" s="24" t="s">
        <v>4</v>
      </c>
      <c r="G2" s="24" t="s">
        <v>5</v>
      </c>
    </row>
    <row r="3" spans="1:10" x14ac:dyDescent="0.25">
      <c r="A3" s="48" t="s">
        <v>6</v>
      </c>
      <c r="B3" s="6">
        <f>+'Calculations &amp; Comparitives'!K28</f>
        <v>1486252461</v>
      </c>
      <c r="C3" s="6">
        <f>+'Calculations &amp; Comparitives'!I24</f>
        <v>2542108008</v>
      </c>
      <c r="D3" s="6">
        <f>+'Calculations &amp; Comparitives'!I26</f>
        <v>2466278380</v>
      </c>
      <c r="F3" s="66">
        <v>736</v>
      </c>
      <c r="G3" s="10">
        <f>+F3/'Calculations &amp; Comparitives'!C24</f>
        <v>0.10882744344225935</v>
      </c>
      <c r="J3" s="8">
        <f>+D3-B3</f>
        <v>980025919</v>
      </c>
    </row>
    <row r="4" spans="1:10" x14ac:dyDescent="0.25">
      <c r="F4" s="67"/>
    </row>
    <row r="5" spans="1:10" x14ac:dyDescent="0.25">
      <c r="A5" s="48" t="s">
        <v>7</v>
      </c>
      <c r="C5" s="9" t="s">
        <v>8</v>
      </c>
      <c r="E5" s="9" t="s">
        <v>8</v>
      </c>
      <c r="G5" s="64"/>
    </row>
    <row r="6" spans="1:10" x14ac:dyDescent="0.25">
      <c r="A6" s="3" t="s">
        <v>9</v>
      </c>
      <c r="B6" s="49">
        <f>+'Calculations &amp; Comparitives'!K41</f>
        <v>0.166687</v>
      </c>
      <c r="C6" s="10">
        <f>+B6/B8</f>
        <v>0.56504067796610158</v>
      </c>
      <c r="D6" s="49">
        <f>+'Calculations &amp; Comparitives'!K47</f>
        <v>0.13124190994936796</v>
      </c>
      <c r="E6" s="10">
        <f>+D6/D8</f>
        <v>0.4448878303368406</v>
      </c>
    </row>
    <row r="7" spans="1:10" x14ac:dyDescent="0.25">
      <c r="A7" s="3" t="s">
        <v>10</v>
      </c>
      <c r="B7" s="50">
        <f>+'Calculations &amp; Comparitives'!K42</f>
        <v>0.12831300000000001</v>
      </c>
      <c r="C7" s="31">
        <f>+B7/B8</f>
        <v>0.43495932203389825</v>
      </c>
      <c r="D7" s="50">
        <f>+'Calculations &amp; Comparitives'!K49</f>
        <v>0.16375809005063202</v>
      </c>
      <c r="E7" s="10">
        <f>+D7/D8</f>
        <v>0.55511216966315946</v>
      </c>
      <c r="J7" s="29"/>
    </row>
    <row r="8" spans="1:10" x14ac:dyDescent="0.25">
      <c r="A8" s="3" t="s">
        <v>11</v>
      </c>
      <c r="B8" s="49">
        <f>SUM(B6:B7)</f>
        <v>0.29500000000000004</v>
      </c>
      <c r="D8" s="49">
        <f>SUM(D6:D7)</f>
        <v>0.29499999999999998</v>
      </c>
      <c r="J8" s="29"/>
    </row>
    <row r="10" spans="1:10" x14ac:dyDescent="0.25">
      <c r="A10" s="14" t="s">
        <v>12</v>
      </c>
      <c r="E10" s="9" t="s">
        <v>13</v>
      </c>
    </row>
    <row r="11" spans="1:10" x14ac:dyDescent="0.25">
      <c r="A11" s="3" t="s">
        <v>9</v>
      </c>
      <c r="B11" s="8">
        <f>+'Calculations &amp; Comparitives'!M41</f>
        <v>2477389.63966707</v>
      </c>
      <c r="C11" s="8"/>
      <c r="D11" s="8">
        <f>+D6*D3/100</f>
        <v>3236790.8505803309</v>
      </c>
      <c r="E11" s="8">
        <f>+D11-B11</f>
        <v>759401.21091326093</v>
      </c>
    </row>
    <row r="12" spans="1:10" x14ac:dyDescent="0.25">
      <c r="A12" s="3" t="s">
        <v>10</v>
      </c>
      <c r="B12" s="8">
        <f>+'Calculations &amp; Comparitives'!M42</f>
        <v>1907055.1202829301</v>
      </c>
      <c r="C12" s="8"/>
      <c r="D12" s="8">
        <f>+D7*D3/100</f>
        <v>4038730.3704196685</v>
      </c>
      <c r="E12" s="8">
        <f t="shared" ref="E12:E18" si="0">+D12-B12</f>
        <v>2131675.2501367386</v>
      </c>
    </row>
    <row r="13" spans="1:10" x14ac:dyDescent="0.25">
      <c r="E13" s="8"/>
    </row>
    <row r="14" spans="1:10" x14ac:dyDescent="0.25">
      <c r="A14" s="3" t="s">
        <v>14</v>
      </c>
      <c r="B14" s="6">
        <f>+'Calculations &amp; Comparitives'!S30</f>
        <v>312356.39850899996</v>
      </c>
      <c r="D14" s="6">
        <f>+'Calculations &amp; Comparitives'!S31</f>
        <v>398672.22697199997</v>
      </c>
      <c r="E14" s="8">
        <f t="shared" si="0"/>
        <v>86315.828463000013</v>
      </c>
    </row>
    <row r="15" spans="1:10" x14ac:dyDescent="0.25">
      <c r="E15" s="8"/>
    </row>
    <row r="16" spans="1:10" x14ac:dyDescent="0.25">
      <c r="A16" s="3" t="s">
        <v>15</v>
      </c>
      <c r="E16" s="8"/>
    </row>
    <row r="17" spans="1:9" x14ac:dyDescent="0.25">
      <c r="A17" s="3" t="s">
        <v>9</v>
      </c>
      <c r="B17" s="6">
        <f>+B11-B14*(B6/$B$8)</f>
        <v>2300895.5684864949</v>
      </c>
      <c r="C17" s="6"/>
      <c r="D17" s="6">
        <f>+D11-D14*(D6/$D$8)</f>
        <v>3059426.4285072014</v>
      </c>
      <c r="E17" s="8">
        <f t="shared" si="0"/>
        <v>758530.86002070643</v>
      </c>
      <c r="H17" s="29"/>
      <c r="I17" s="32"/>
    </row>
    <row r="18" spans="1:9" x14ac:dyDescent="0.25">
      <c r="A18" s="3" t="s">
        <v>10</v>
      </c>
      <c r="B18" s="6">
        <f>+B12-B14*(B7/$B$8)</f>
        <v>1771192.7929545054</v>
      </c>
      <c r="C18" s="6"/>
      <c r="D18" s="6">
        <f>+D12-(D14*(D7/$D$8))</f>
        <v>3817422.5655207979</v>
      </c>
      <c r="E18" s="8">
        <f t="shared" si="0"/>
        <v>2046229.7725662924</v>
      </c>
    </row>
    <row r="20" spans="1:9" ht="30" customHeight="1" x14ac:dyDescent="0.25">
      <c r="C20" s="17" t="s">
        <v>16</v>
      </c>
      <c r="D20" s="17" t="s">
        <v>17</v>
      </c>
    </row>
    <row r="21" spans="1:9" x14ac:dyDescent="0.25">
      <c r="C21" s="10">
        <f>+(C3-B3)/B3</f>
        <v>0.71041466689285437</v>
      </c>
      <c r="D21" s="10">
        <f>+D22/'Tax Rate Dashboard'!C3</f>
        <v>8.9236431452207596E-2</v>
      </c>
    </row>
    <row r="22" spans="1:9" x14ac:dyDescent="0.25">
      <c r="C22" s="8">
        <f>+C3-B3</f>
        <v>1055855547</v>
      </c>
      <c r="D22" s="2">
        <f>+'Calculations &amp; Comparitives'!G29</f>
        <v>226848647</v>
      </c>
    </row>
    <row r="23" spans="1:9" x14ac:dyDescent="0.25">
      <c r="C23" s="8"/>
      <c r="D23" s="1"/>
    </row>
    <row r="24" spans="1:9" x14ac:dyDescent="0.25">
      <c r="D24" s="3" t="s">
        <v>18</v>
      </c>
    </row>
    <row r="25" spans="1:9" x14ac:dyDescent="0.25">
      <c r="C25" s="7" t="s">
        <v>19</v>
      </c>
      <c r="D25" s="49">
        <f>+'Calculations &amp; Comparitives'!K45</f>
        <v>0.11096844836227819</v>
      </c>
    </row>
    <row r="26" spans="1:9" x14ac:dyDescent="0.25">
      <c r="C26" s="7" t="s">
        <v>20</v>
      </c>
      <c r="D26" s="49">
        <f>+'Calculations &amp; Comparitives'!K46</f>
        <v>0.11485234405495792</v>
      </c>
    </row>
    <row r="27" spans="1:9" x14ac:dyDescent="0.25">
      <c r="C27" s="7" t="s">
        <v>21</v>
      </c>
      <c r="D27" s="49">
        <f>+'Calculations &amp; Comparitives'!K47</f>
        <v>0.13124190994936796</v>
      </c>
      <c r="F27" s="34"/>
    </row>
    <row r="30" spans="1:9" x14ac:dyDescent="0.25">
      <c r="C30" s="24" t="s">
        <v>22</v>
      </c>
      <c r="D30" s="17" t="s">
        <v>23</v>
      </c>
    </row>
    <row r="31" spans="1:9" x14ac:dyDescent="0.25">
      <c r="B31" s="3" t="s">
        <v>24</v>
      </c>
      <c r="C31" s="2">
        <v>605514532</v>
      </c>
      <c r="D31" s="30">
        <v>463650352</v>
      </c>
    </row>
    <row r="32" spans="1:9" x14ac:dyDescent="0.25">
      <c r="B32" s="3" t="s">
        <v>25</v>
      </c>
      <c r="C32" s="2">
        <v>1658</v>
      </c>
      <c r="D32" s="30">
        <v>1262</v>
      </c>
    </row>
    <row r="33" spans="2:4" x14ac:dyDescent="0.25">
      <c r="B33" s="3" t="s">
        <v>26</v>
      </c>
      <c r="C33" s="29">
        <v>0.56780821917808222</v>
      </c>
      <c r="D33" s="29">
        <v>0.43219178082191778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4279-9580-4BF9-A320-878C455D5720}">
  <dimension ref="A1:AB64"/>
  <sheetViews>
    <sheetView topLeftCell="E3" zoomScaleNormal="100" workbookViewId="0">
      <selection activeCell="C21" sqref="C21:D21"/>
    </sheetView>
  </sheetViews>
  <sheetFormatPr defaultColWidth="8.85546875" defaultRowHeight="15" x14ac:dyDescent="0.25"/>
  <cols>
    <col min="1" max="1" width="5.42578125" bestFit="1" customWidth="1"/>
    <col min="2" max="2" width="34" customWidth="1"/>
    <col min="3" max="3" width="7.7109375" style="2" bestFit="1" customWidth="1"/>
    <col min="4" max="4" width="7.7109375" style="2" customWidth="1"/>
    <col min="5" max="5" width="8.140625" style="2" customWidth="1"/>
    <col min="6" max="6" width="15" style="1" bestFit="1" customWidth="1"/>
    <col min="7" max="7" width="16.28515625" style="6" bestFit="1" customWidth="1"/>
    <col min="8" max="8" width="17.28515625" bestFit="1" customWidth="1"/>
    <col min="9" max="9" width="19.42578125" style="6" bestFit="1" customWidth="1"/>
    <col min="10" max="10" width="23.28515625" style="6" bestFit="1" customWidth="1"/>
    <col min="11" max="11" width="17.42578125" customWidth="1"/>
    <col min="12" max="12" width="1.140625" customWidth="1"/>
    <col min="13" max="13" width="15.85546875" customWidth="1"/>
    <col min="14" max="14" width="15.140625" customWidth="1"/>
    <col min="15" max="15" width="1.28515625" customWidth="1"/>
    <col min="16" max="16" width="15.28515625" hidden="1" customWidth="1"/>
    <col min="17" max="17" width="14.28515625" bestFit="1" customWidth="1"/>
    <col min="18" max="18" width="8.140625" bestFit="1" customWidth="1"/>
    <col min="19" max="19" width="13.85546875" customWidth="1"/>
    <col min="20" max="21" width="17.28515625" bestFit="1" customWidth="1"/>
    <col min="22" max="23" width="14.42578125" bestFit="1" customWidth="1"/>
    <col min="28" max="28" width="12.28515625" bestFit="1" customWidth="1"/>
  </cols>
  <sheetData>
    <row r="1" spans="1:23" ht="30" x14ac:dyDescent="0.25">
      <c r="A1" s="14" t="s">
        <v>27</v>
      </c>
      <c r="B1" s="14" t="s">
        <v>28</v>
      </c>
      <c r="C1" s="40" t="s">
        <v>29</v>
      </c>
      <c r="D1" s="40" t="s">
        <v>30</v>
      </c>
      <c r="E1" s="40" t="s">
        <v>31</v>
      </c>
      <c r="F1" s="22" t="s">
        <v>32</v>
      </c>
      <c r="G1" s="23" t="s">
        <v>33</v>
      </c>
      <c r="H1" s="24" t="s">
        <v>34</v>
      </c>
      <c r="I1" s="23" t="s">
        <v>35</v>
      </c>
      <c r="J1" s="23" t="s">
        <v>36</v>
      </c>
      <c r="K1" s="24" t="s">
        <v>37</v>
      </c>
      <c r="L1" s="11"/>
      <c r="M1" s="15" t="s">
        <v>38</v>
      </c>
      <c r="N1" s="16" t="s">
        <v>39</v>
      </c>
      <c r="O1" s="11"/>
      <c r="P1" s="17" t="s">
        <v>40</v>
      </c>
      <c r="Q1" s="17" t="s">
        <v>41</v>
      </c>
      <c r="V1" s="24" t="s">
        <v>22</v>
      </c>
      <c r="W1" s="17" t="s">
        <v>23</v>
      </c>
    </row>
    <row r="2" spans="1:23" x14ac:dyDescent="0.25">
      <c r="A2" t="s">
        <v>42</v>
      </c>
      <c r="B2" t="s">
        <v>43</v>
      </c>
      <c r="C2" s="2">
        <v>2817</v>
      </c>
      <c r="D2" s="2">
        <v>2137</v>
      </c>
      <c r="E2" s="29">
        <f>+(C2-D2)/D2</f>
        <v>0.31820308844174078</v>
      </c>
      <c r="F2" s="1">
        <v>996.77250000000004</v>
      </c>
      <c r="G2" s="2">
        <v>233605014</v>
      </c>
      <c r="H2" s="2">
        <v>1270920568</v>
      </c>
      <c r="I2" s="2">
        <v>973847383</v>
      </c>
      <c r="J2" s="2">
        <v>633488266</v>
      </c>
      <c r="K2" s="2">
        <v>636635174</v>
      </c>
      <c r="M2" s="8">
        <f>+I2-G2-K2</f>
        <v>103607195</v>
      </c>
      <c r="N2" s="53">
        <f>+M2/K2</f>
        <v>0.16274186414965505</v>
      </c>
      <c r="P2" s="10">
        <f>(H2-G2-J2)/J2</f>
        <v>0.63746609001910071</v>
      </c>
      <c r="Q2" s="10">
        <f>+I2/($I$24)</f>
        <v>0.38308654861843305</v>
      </c>
      <c r="R2" s="30">
        <f>+C2-D2</f>
        <v>680</v>
      </c>
      <c r="S2" s="44">
        <f>+I2/I24</f>
        <v>0.38308654861843305</v>
      </c>
      <c r="T2" s="30">
        <f>+I2-K2</f>
        <v>337212209</v>
      </c>
      <c r="V2" s="2">
        <f>+V6*V3</f>
        <v>683920077</v>
      </c>
      <c r="W2" s="30">
        <f>+I2-V2</f>
        <v>289927306</v>
      </c>
    </row>
    <row r="3" spans="1:23" x14ac:dyDescent="0.25">
      <c r="A3" t="s">
        <v>44</v>
      </c>
      <c r="B3" t="s">
        <v>45</v>
      </c>
      <c r="C3" s="41">
        <v>4</v>
      </c>
      <c r="D3" s="2">
        <v>6</v>
      </c>
      <c r="E3" s="43">
        <f t="shared" ref="E3:E23" si="0">+(C3-D3)/D3</f>
        <v>-0.33333333333333331</v>
      </c>
      <c r="F3" s="1">
        <v>61.935000000000002</v>
      </c>
      <c r="G3" s="2">
        <v>354035</v>
      </c>
      <c r="H3" s="2">
        <v>181784060</v>
      </c>
      <c r="I3" s="2">
        <v>181784060</v>
      </c>
      <c r="J3" s="2">
        <v>157472047</v>
      </c>
      <c r="K3" s="2">
        <v>158539083</v>
      </c>
      <c r="M3" s="8">
        <f>+I3-G3-K3</f>
        <v>22890942</v>
      </c>
      <c r="N3" s="54">
        <f>+M3/K3</f>
        <v>0.14438674405603821</v>
      </c>
      <c r="P3" s="10">
        <f t="shared" ref="P3:P7" si="1">(H3-G3-J3)/J3</f>
        <v>0.15214114794608594</v>
      </c>
      <c r="Q3" s="10">
        <f t="shared" ref="Q3:Q23" si="2">+I3/($I$24)</f>
        <v>7.1509180344787301E-2</v>
      </c>
      <c r="T3" s="29">
        <f>+T2/K2</f>
        <v>0.52967888481763337</v>
      </c>
      <c r="V3" s="2">
        <v>1893</v>
      </c>
      <c r="W3" s="30">
        <f>+C2-V3</f>
        <v>924</v>
      </c>
    </row>
    <row r="4" spans="1:23" x14ac:dyDescent="0.25">
      <c r="A4" t="s">
        <v>46</v>
      </c>
      <c r="B4" t="s">
        <v>47</v>
      </c>
      <c r="C4" s="2">
        <v>260</v>
      </c>
      <c r="D4" s="2">
        <v>479</v>
      </c>
      <c r="E4" s="29">
        <f t="shared" si="0"/>
        <v>-0.45720250521920669</v>
      </c>
      <c r="F4" s="1">
        <v>584.73469999999998</v>
      </c>
      <c r="G4" s="2">
        <v>0</v>
      </c>
      <c r="H4" s="2">
        <v>75370548</v>
      </c>
      <c r="I4" s="2">
        <v>75370548</v>
      </c>
      <c r="J4" s="2">
        <v>49270700</v>
      </c>
      <c r="K4" s="2">
        <v>50657514</v>
      </c>
      <c r="M4" s="8">
        <f t="shared" ref="M4:M7" si="3">+I4-G4-K4</f>
        <v>24713034</v>
      </c>
      <c r="N4" s="53">
        <f t="shared" ref="N4:N21" si="4">+M4/K4</f>
        <v>0.48784537669969358</v>
      </c>
      <c r="P4" s="10">
        <f t="shared" si="1"/>
        <v>0.52972350707418403</v>
      </c>
      <c r="Q4" s="10">
        <f t="shared" si="2"/>
        <v>2.9648837800285942E-2</v>
      </c>
      <c r="V4" s="29">
        <f>+V3/C2</f>
        <v>0.67199148029818956</v>
      </c>
      <c r="W4" s="29">
        <f>+W3/C2</f>
        <v>0.32800851970181044</v>
      </c>
    </row>
    <row r="5" spans="1:23" x14ac:dyDescent="0.25">
      <c r="A5" t="s">
        <v>48</v>
      </c>
      <c r="B5" t="s">
        <v>49</v>
      </c>
      <c r="C5" s="2">
        <v>225</v>
      </c>
      <c r="D5" s="2">
        <v>228</v>
      </c>
      <c r="E5" s="29">
        <f t="shared" si="0"/>
        <v>-1.3157894736842105E-2</v>
      </c>
      <c r="F5" s="1">
        <v>6059.9227000000001</v>
      </c>
      <c r="G5" s="2">
        <v>0</v>
      </c>
      <c r="H5" s="2">
        <v>184471389</v>
      </c>
      <c r="I5" s="2">
        <v>472677</v>
      </c>
      <c r="J5" s="2">
        <v>475964</v>
      </c>
      <c r="K5" s="2">
        <v>475964</v>
      </c>
      <c r="M5" s="8">
        <f t="shared" si="3"/>
        <v>-3287</v>
      </c>
      <c r="N5" s="54">
        <f t="shared" si="4"/>
        <v>-6.9059844862216467E-3</v>
      </c>
      <c r="P5" s="10">
        <f t="shared" si="1"/>
        <v>386.57424721197401</v>
      </c>
      <c r="Q5" s="10">
        <f t="shared" si="2"/>
        <v>1.8593899177866876E-4</v>
      </c>
    </row>
    <row r="6" spans="1:23" x14ac:dyDescent="0.25">
      <c r="A6" t="s">
        <v>50</v>
      </c>
      <c r="B6" t="s">
        <v>51</v>
      </c>
      <c r="C6" s="2">
        <v>55</v>
      </c>
      <c r="D6" s="2">
        <v>56</v>
      </c>
      <c r="E6" s="29">
        <f t="shared" si="0"/>
        <v>-1.7857142857142856E-2</v>
      </c>
      <c r="G6" s="2">
        <v>12958</v>
      </c>
      <c r="H6" s="2">
        <v>1325233</v>
      </c>
      <c r="I6" s="2">
        <v>1325233</v>
      </c>
      <c r="J6" s="2">
        <v>1172227</v>
      </c>
      <c r="K6" s="2">
        <v>1207833</v>
      </c>
      <c r="M6" s="8">
        <f t="shared" si="3"/>
        <v>104442</v>
      </c>
      <c r="N6" s="54">
        <f t="shared" si="4"/>
        <v>8.6470563397423317E-2</v>
      </c>
      <c r="P6" s="10">
        <f t="shared" si="1"/>
        <v>0.11947174054172101</v>
      </c>
      <c r="Q6" s="10">
        <f t="shared" si="2"/>
        <v>5.213126255176802E-4</v>
      </c>
      <c r="V6" s="38">
        <v>361289</v>
      </c>
      <c r="W6" s="38">
        <f>+W2/W3</f>
        <v>313774.14069264068</v>
      </c>
    </row>
    <row r="7" spans="1:23" x14ac:dyDescent="0.25">
      <c r="A7" t="s">
        <v>52</v>
      </c>
      <c r="B7" t="s">
        <v>53</v>
      </c>
      <c r="C7" s="2">
        <v>145</v>
      </c>
      <c r="D7" s="2">
        <v>125</v>
      </c>
      <c r="E7" s="29">
        <f>+(C7-D7)/D7</f>
        <v>0.16</v>
      </c>
      <c r="F7" s="1">
        <v>821.0779</v>
      </c>
      <c r="G7" s="2">
        <v>514087</v>
      </c>
      <c r="H7" s="2">
        <v>61417839</v>
      </c>
      <c r="I7" s="2">
        <v>53929746</v>
      </c>
      <c r="J7" s="2">
        <v>25894434</v>
      </c>
      <c r="K7" s="2">
        <v>25974229</v>
      </c>
      <c r="M7" s="8">
        <f t="shared" si="3"/>
        <v>27441430</v>
      </c>
      <c r="N7" s="54">
        <f>+M7/K7</f>
        <v>1.0564867969709515</v>
      </c>
      <c r="P7" s="10">
        <f t="shared" si="1"/>
        <v>1.3520016695479808</v>
      </c>
      <c r="Q7" s="10">
        <f t="shared" si="2"/>
        <v>2.1214576969303973E-2</v>
      </c>
    </row>
    <row r="8" spans="1:23" x14ac:dyDescent="0.25">
      <c r="A8" t="s">
        <v>54</v>
      </c>
      <c r="B8" t="s">
        <v>55</v>
      </c>
      <c r="C8" s="2">
        <v>61</v>
      </c>
      <c r="D8" s="2">
        <v>49</v>
      </c>
      <c r="E8" s="29">
        <f t="shared" si="0"/>
        <v>0.24489795918367346</v>
      </c>
      <c r="F8" s="1">
        <v>564.79470000000003</v>
      </c>
      <c r="G8" s="2">
        <v>11601354</v>
      </c>
      <c r="H8" s="2">
        <v>427646175</v>
      </c>
      <c r="I8" s="2">
        <v>401303206</v>
      </c>
      <c r="J8" s="2">
        <v>338217604</v>
      </c>
      <c r="K8" s="2">
        <v>344196368</v>
      </c>
      <c r="M8" s="8">
        <f>+I8-G8-K8</f>
        <v>45505484</v>
      </c>
      <c r="N8" s="53">
        <f>+M8/K8</f>
        <v>0.13220791452395569</v>
      </c>
      <c r="P8" s="10">
        <f>(H8-G8-J8)/J8</f>
        <v>0.23010989398411089</v>
      </c>
      <c r="Q8" s="10">
        <f t="shared" si="2"/>
        <v>0.15786237435116879</v>
      </c>
      <c r="R8" s="38">
        <f>+(M8+M9)/(K8+K9)</f>
        <v>0.1517329707756222</v>
      </c>
      <c r="V8">
        <v>332612</v>
      </c>
    </row>
    <row r="9" spans="1:23" x14ac:dyDescent="0.25">
      <c r="A9" t="s">
        <v>56</v>
      </c>
      <c r="B9" t="s">
        <v>57</v>
      </c>
      <c r="C9" s="2">
        <v>2</v>
      </c>
      <c r="D9" s="2">
        <v>2</v>
      </c>
      <c r="E9" s="29">
        <f t="shared" si="0"/>
        <v>0</v>
      </c>
      <c r="F9" s="1">
        <v>51.152999999999999</v>
      </c>
      <c r="G9" s="2">
        <v>0</v>
      </c>
      <c r="H9" s="2">
        <v>15901145</v>
      </c>
      <c r="I9" s="2">
        <v>15901145</v>
      </c>
      <c r="J9" s="2">
        <v>7971198</v>
      </c>
      <c r="K9" s="2">
        <v>7971198</v>
      </c>
      <c r="M9" s="8">
        <f t="shared" ref="M9:M23" si="5">+I9-G9-K9</f>
        <v>7929947</v>
      </c>
      <c r="N9" s="54">
        <f t="shared" si="4"/>
        <v>0.99482499368350907</v>
      </c>
      <c r="P9" s="10">
        <f t="shared" ref="P9:P10" si="6">(H9-G9-J9)/J9</f>
        <v>0.99482499368350907</v>
      </c>
      <c r="Q9" s="10">
        <f t="shared" si="2"/>
        <v>6.2551020452156969E-3</v>
      </c>
      <c r="V9" s="38">
        <f>+V6-V8</f>
        <v>28677</v>
      </c>
      <c r="W9">
        <f>+V9/100*0.295</f>
        <v>84.597149999999985</v>
      </c>
    </row>
    <row r="10" spans="1:23" x14ac:dyDescent="0.25">
      <c r="A10" t="s">
        <v>58</v>
      </c>
      <c r="B10" t="s">
        <v>59</v>
      </c>
      <c r="C10" s="2">
        <v>1874</v>
      </c>
      <c r="D10" s="2">
        <v>2015</v>
      </c>
      <c r="E10" s="29">
        <f t="shared" si="0"/>
        <v>-6.9975186104218365E-2</v>
      </c>
      <c r="G10" s="2">
        <v>0</v>
      </c>
      <c r="H10" s="2">
        <v>27961714</v>
      </c>
      <c r="I10" s="2">
        <v>27961714</v>
      </c>
      <c r="J10" s="2">
        <v>17172072</v>
      </c>
      <c r="K10" s="2">
        <v>17172072</v>
      </c>
      <c r="M10" s="8">
        <f t="shared" si="5"/>
        <v>10789642</v>
      </c>
      <c r="N10" s="54">
        <f t="shared" si="4"/>
        <v>0.62832499188216773</v>
      </c>
      <c r="P10" s="10">
        <f t="shared" si="6"/>
        <v>0.62832499188216773</v>
      </c>
      <c r="Q10" s="10">
        <f t="shared" si="2"/>
        <v>1.0999420131640606E-2</v>
      </c>
      <c r="V10">
        <f>+V9/V8</f>
        <v>8.6217574831936317E-2</v>
      </c>
      <c r="W10">
        <f>+W9/12</f>
        <v>7.049762499999999</v>
      </c>
    </row>
    <row r="11" spans="1:23" x14ac:dyDescent="0.25">
      <c r="A11" t="s">
        <v>60</v>
      </c>
      <c r="B11" t="s">
        <v>61</v>
      </c>
      <c r="C11" s="2">
        <v>1</v>
      </c>
      <c r="D11" s="2">
        <v>1</v>
      </c>
      <c r="E11" s="29">
        <f t="shared" si="0"/>
        <v>0</v>
      </c>
      <c r="G11" s="2">
        <v>0</v>
      </c>
      <c r="H11" s="2">
        <v>41610</v>
      </c>
      <c r="I11" s="2">
        <v>41610</v>
      </c>
      <c r="J11" s="2">
        <v>44390</v>
      </c>
      <c r="K11" s="2">
        <v>44390</v>
      </c>
      <c r="M11" s="8">
        <f t="shared" si="5"/>
        <v>-2780</v>
      </c>
      <c r="N11" s="54"/>
      <c r="Q11" s="10">
        <f t="shared" si="2"/>
        <v>1.6368305307663387E-5</v>
      </c>
    </row>
    <row r="12" spans="1:23" x14ac:dyDescent="0.25">
      <c r="A12" t="s">
        <v>62</v>
      </c>
      <c r="B12" t="s">
        <v>63</v>
      </c>
      <c r="C12" s="2">
        <v>2</v>
      </c>
      <c r="D12" s="2">
        <v>2</v>
      </c>
      <c r="E12" s="29">
        <f t="shared" si="0"/>
        <v>0</v>
      </c>
      <c r="G12" s="2">
        <v>0</v>
      </c>
      <c r="H12" s="2">
        <v>485130</v>
      </c>
      <c r="I12" s="2">
        <v>485130</v>
      </c>
      <c r="J12" s="2">
        <v>379760</v>
      </c>
      <c r="K12" s="2">
        <v>379760</v>
      </c>
      <c r="M12" s="8">
        <f t="shared" si="5"/>
        <v>105370</v>
      </c>
      <c r="N12" s="54"/>
      <c r="Q12" s="10">
        <f t="shared" si="2"/>
        <v>1.9083768214147413E-4</v>
      </c>
    </row>
    <row r="13" spans="1:23" x14ac:dyDescent="0.25">
      <c r="A13" t="s">
        <v>64</v>
      </c>
      <c r="B13" t="s">
        <v>65</v>
      </c>
      <c r="C13" s="2">
        <v>6</v>
      </c>
      <c r="D13" s="2">
        <v>6</v>
      </c>
      <c r="E13" s="29">
        <f t="shared" si="0"/>
        <v>0</v>
      </c>
      <c r="F13" s="1">
        <v>0.1057</v>
      </c>
      <c r="G13" s="2">
        <v>0</v>
      </c>
      <c r="H13" s="2">
        <v>5915341</v>
      </c>
      <c r="I13" s="2">
        <v>5915341</v>
      </c>
      <c r="J13" s="2">
        <v>5119951</v>
      </c>
      <c r="K13" s="2">
        <v>5119951</v>
      </c>
      <c r="M13" s="8">
        <f t="shared" si="5"/>
        <v>795390</v>
      </c>
      <c r="N13" s="54"/>
      <c r="Q13" s="10">
        <f t="shared" si="2"/>
        <v>2.3269432224690902E-3</v>
      </c>
    </row>
    <row r="14" spans="1:23" x14ac:dyDescent="0.25">
      <c r="A14" t="s">
        <v>66</v>
      </c>
      <c r="B14" t="s">
        <v>67</v>
      </c>
      <c r="C14" s="2">
        <v>6</v>
      </c>
      <c r="D14" s="2">
        <v>7</v>
      </c>
      <c r="E14" s="29">
        <f t="shared" si="0"/>
        <v>-0.14285714285714285</v>
      </c>
      <c r="G14" s="2">
        <v>0</v>
      </c>
      <c r="H14" s="2">
        <v>617530</v>
      </c>
      <c r="I14" s="2">
        <v>617530</v>
      </c>
      <c r="J14" s="2">
        <v>740950</v>
      </c>
      <c r="K14" s="2">
        <v>740950</v>
      </c>
      <c r="M14" s="8">
        <f t="shared" si="5"/>
        <v>-123420</v>
      </c>
      <c r="N14" s="54">
        <f t="shared" si="4"/>
        <v>-0.16656994399082259</v>
      </c>
      <c r="P14" s="10">
        <f t="shared" ref="P14" si="7">(H14-G14-J14)/J14</f>
        <v>-0.16656994399082259</v>
      </c>
      <c r="Q14" s="10">
        <f t="shared" si="2"/>
        <v>2.4292044164002334E-4</v>
      </c>
    </row>
    <row r="15" spans="1:23" x14ac:dyDescent="0.25">
      <c r="A15" t="s">
        <v>68</v>
      </c>
      <c r="B15" t="s">
        <v>69</v>
      </c>
      <c r="C15" s="2">
        <v>35</v>
      </c>
      <c r="D15" s="2">
        <v>35</v>
      </c>
      <c r="E15" s="29">
        <f t="shared" si="0"/>
        <v>0</v>
      </c>
      <c r="G15" s="2">
        <v>0</v>
      </c>
      <c r="H15" s="2">
        <v>4569520</v>
      </c>
      <c r="I15" s="2">
        <v>4569520</v>
      </c>
      <c r="J15" s="2">
        <v>4748800</v>
      </c>
      <c r="K15" s="2">
        <v>4748800</v>
      </c>
      <c r="M15" s="8">
        <f t="shared" si="5"/>
        <v>-179280</v>
      </c>
      <c r="N15" s="54"/>
      <c r="Q15" s="10">
        <f t="shared" si="2"/>
        <v>1.7975318065242491E-3</v>
      </c>
      <c r="U15" s="33">
        <f>343670801*V20</f>
        <v>105897206.13864405</v>
      </c>
    </row>
    <row r="16" spans="1:23" x14ac:dyDescent="0.25">
      <c r="A16" t="s">
        <v>70</v>
      </c>
      <c r="B16" t="s">
        <v>71</v>
      </c>
      <c r="C16" s="2">
        <v>5</v>
      </c>
      <c r="D16" s="2">
        <v>6</v>
      </c>
      <c r="E16" s="29">
        <f t="shared" si="0"/>
        <v>-0.16666666666666666</v>
      </c>
      <c r="G16" s="2">
        <v>0</v>
      </c>
      <c r="H16" s="2">
        <v>454160</v>
      </c>
      <c r="I16" s="2">
        <v>454160</v>
      </c>
      <c r="J16" s="2">
        <v>438330</v>
      </c>
      <c r="K16" s="2">
        <v>438330</v>
      </c>
      <c r="M16" s="8">
        <f t="shared" si="5"/>
        <v>15830</v>
      </c>
      <c r="N16" s="54"/>
      <c r="Q16" s="10">
        <f t="shared" si="2"/>
        <v>1.7865487956088451E-4</v>
      </c>
    </row>
    <row r="17" spans="1:28" x14ac:dyDescent="0.25">
      <c r="A17" t="s">
        <v>72</v>
      </c>
      <c r="B17" t="s">
        <v>73</v>
      </c>
      <c r="C17" s="2">
        <v>1</v>
      </c>
      <c r="D17" s="2">
        <v>1</v>
      </c>
      <c r="E17" s="29">
        <f t="shared" si="0"/>
        <v>0</v>
      </c>
      <c r="G17" s="2">
        <v>0</v>
      </c>
      <c r="H17" s="2">
        <v>0</v>
      </c>
      <c r="I17" s="2">
        <v>0</v>
      </c>
      <c r="J17" s="2">
        <v>9650</v>
      </c>
      <c r="K17" s="2">
        <v>9650</v>
      </c>
      <c r="M17" s="8">
        <f t="shared" si="5"/>
        <v>-9650</v>
      </c>
      <c r="N17" s="54"/>
      <c r="Q17" s="10">
        <f t="shared" si="2"/>
        <v>0</v>
      </c>
    </row>
    <row r="18" spans="1:28" x14ac:dyDescent="0.25">
      <c r="A18" t="s">
        <v>74</v>
      </c>
      <c r="B18" t="s">
        <v>75</v>
      </c>
      <c r="C18" s="41">
        <v>153</v>
      </c>
      <c r="D18" s="41">
        <v>297</v>
      </c>
      <c r="E18" s="43">
        <f t="shared" si="0"/>
        <v>-0.48484848484848486</v>
      </c>
      <c r="G18" s="2">
        <v>55303</v>
      </c>
      <c r="H18" s="2">
        <v>340268021</v>
      </c>
      <c r="I18" s="2">
        <v>165538400</v>
      </c>
      <c r="J18" s="2">
        <v>83079749</v>
      </c>
      <c r="K18" s="2">
        <v>83225767</v>
      </c>
      <c r="M18" s="8">
        <f>+I18-G18-K18</f>
        <v>82257330</v>
      </c>
      <c r="N18" s="54">
        <f>+M18/K18</f>
        <v>0.98836373595691829</v>
      </c>
      <c r="P18" s="10">
        <f t="shared" ref="P18:P21" si="8">(H18-G18-J18)/J18</f>
        <v>3.0950137921095551</v>
      </c>
      <c r="Q18" s="10">
        <f t="shared" si="2"/>
        <v>6.5118554946938356E-2</v>
      </c>
      <c r="R18" s="30"/>
      <c r="S18" s="38"/>
      <c r="V18">
        <v>9.0899999999999995E-2</v>
      </c>
    </row>
    <row r="19" spans="1:28" x14ac:dyDescent="0.25">
      <c r="A19" t="s">
        <v>76</v>
      </c>
      <c r="B19" t="s">
        <v>77</v>
      </c>
      <c r="C19" s="2">
        <v>11</v>
      </c>
      <c r="D19" s="2">
        <v>10</v>
      </c>
      <c r="E19" s="29">
        <f t="shared" si="0"/>
        <v>0.1</v>
      </c>
      <c r="G19" s="2">
        <v>0</v>
      </c>
      <c r="H19" s="2">
        <v>576474471</v>
      </c>
      <c r="I19" s="2">
        <v>569318301</v>
      </c>
      <c r="J19" s="2">
        <v>94417189</v>
      </c>
      <c r="K19" s="2">
        <v>102229411</v>
      </c>
      <c r="M19" s="8">
        <f t="shared" si="5"/>
        <v>467088890</v>
      </c>
      <c r="N19" s="54">
        <f t="shared" si="4"/>
        <v>4.5690265201664912</v>
      </c>
      <c r="P19" s="10">
        <f t="shared" si="8"/>
        <v>5.1056093398417106</v>
      </c>
      <c r="Q19" s="10">
        <f t="shared" si="2"/>
        <v>0.22395519750079793</v>
      </c>
      <c r="V19">
        <v>0.29499999999999998</v>
      </c>
    </row>
    <row r="20" spans="1:28" x14ac:dyDescent="0.25">
      <c r="A20" t="s">
        <v>78</v>
      </c>
      <c r="B20" t="s">
        <v>79</v>
      </c>
      <c r="C20" s="2">
        <v>1</v>
      </c>
      <c r="D20" s="2">
        <v>1</v>
      </c>
      <c r="E20" s="29">
        <f t="shared" si="0"/>
        <v>0</v>
      </c>
      <c r="G20" s="2">
        <v>0</v>
      </c>
      <c r="H20" s="2">
        <v>6698</v>
      </c>
      <c r="I20" s="2">
        <v>6698</v>
      </c>
      <c r="J20" s="2">
        <v>5805</v>
      </c>
      <c r="K20" s="2">
        <v>5805</v>
      </c>
      <c r="M20" s="8">
        <f t="shared" si="5"/>
        <v>893</v>
      </c>
      <c r="N20" s="54">
        <f t="shared" si="4"/>
        <v>0.15383290267011196</v>
      </c>
      <c r="P20" s="10">
        <f t="shared" si="8"/>
        <v>0.15383290267011196</v>
      </c>
      <c r="Q20" s="10">
        <f t="shared" si="2"/>
        <v>2.6348211716108958E-6</v>
      </c>
      <c r="V20" s="44">
        <f>+V18/V19</f>
        <v>0.30813559322033895</v>
      </c>
    </row>
    <row r="21" spans="1:28" x14ac:dyDescent="0.25">
      <c r="A21" t="s">
        <v>80</v>
      </c>
      <c r="B21" t="s">
        <v>81</v>
      </c>
      <c r="C21" s="2">
        <v>652</v>
      </c>
      <c r="D21" s="2">
        <v>1074</v>
      </c>
      <c r="E21" s="29">
        <f t="shared" si="0"/>
        <v>-0.3929236499068901</v>
      </c>
      <c r="F21" s="1">
        <v>126.2761</v>
      </c>
      <c r="G21" s="2">
        <v>8219567</v>
      </c>
      <c r="H21" s="2">
        <v>63280850</v>
      </c>
      <c r="I21" s="18">
        <v>62658879</v>
      </c>
      <c r="J21" s="18">
        <v>66069324</v>
      </c>
      <c r="K21" s="2">
        <v>66261510</v>
      </c>
      <c r="M21" s="8">
        <f t="shared" si="5"/>
        <v>-11822198</v>
      </c>
      <c r="N21" s="54">
        <f t="shared" si="4"/>
        <v>-0.17841727422148998</v>
      </c>
      <c r="P21" s="10">
        <f t="shared" si="8"/>
        <v>-0.16661349524326902</v>
      </c>
      <c r="Q21" s="10">
        <f t="shared" si="2"/>
        <v>2.464839369641764E-2</v>
      </c>
    </row>
    <row r="22" spans="1:28" x14ac:dyDescent="0.25">
      <c r="A22" t="s">
        <v>82</v>
      </c>
      <c r="B22" t="s">
        <v>83</v>
      </c>
      <c r="C22" s="2">
        <v>1</v>
      </c>
      <c r="D22" s="2">
        <v>1</v>
      </c>
      <c r="E22" s="29">
        <f t="shared" si="0"/>
        <v>0</v>
      </c>
      <c r="G22" s="2"/>
      <c r="H22" s="2">
        <v>606727</v>
      </c>
      <c r="I22" s="18">
        <v>606727</v>
      </c>
      <c r="J22" s="18">
        <v>64051</v>
      </c>
      <c r="K22" s="2">
        <v>64051</v>
      </c>
      <c r="M22" s="8">
        <f t="shared" si="5"/>
        <v>542676</v>
      </c>
      <c r="N22" s="10"/>
      <c r="P22" s="10"/>
      <c r="Q22" s="10">
        <f t="shared" si="2"/>
        <v>2.3867081889936755E-4</v>
      </c>
    </row>
    <row r="23" spans="1:28" ht="15.75" thickBot="1" x14ac:dyDescent="0.3">
      <c r="A23" s="11" t="s">
        <v>84</v>
      </c>
      <c r="B23" s="11" t="s">
        <v>85</v>
      </c>
      <c r="C23" s="12">
        <v>446</v>
      </c>
      <c r="D23" s="12">
        <v>334</v>
      </c>
      <c r="E23" s="42">
        <f t="shared" si="0"/>
        <v>0.33532934131736525</v>
      </c>
      <c r="F23" s="13">
        <v>674.02610000000004</v>
      </c>
      <c r="G23" s="12">
        <v>0</v>
      </c>
      <c r="H23" s="12">
        <v>24833987</v>
      </c>
      <c r="I23" s="46">
        <v>0</v>
      </c>
      <c r="J23" s="12">
        <v>0</v>
      </c>
      <c r="K23" s="12">
        <v>0</v>
      </c>
      <c r="L23" s="11"/>
      <c r="M23" s="28">
        <f t="shared" si="5"/>
        <v>0</v>
      </c>
      <c r="N23" s="31"/>
      <c r="O23" s="11"/>
      <c r="P23" s="11"/>
      <c r="Q23" s="10">
        <f t="shared" si="2"/>
        <v>0</v>
      </c>
      <c r="T23" s="8">
        <f>+T24-G29</f>
        <v>733331923</v>
      </c>
    </row>
    <row r="24" spans="1:28" ht="15.75" thickBot="1" x14ac:dyDescent="0.3">
      <c r="B24" s="3" t="s">
        <v>86</v>
      </c>
      <c r="C24" s="4">
        <f>SUM(C2:C23)</f>
        <v>6763</v>
      </c>
      <c r="D24" s="4">
        <f>SUM(D2:D23)</f>
        <v>6872</v>
      </c>
      <c r="E24" s="4"/>
      <c r="F24" s="5">
        <f t="shared" ref="F24:K24" si="9">SUM(F2:F23)</f>
        <v>9940.7983999999997</v>
      </c>
      <c r="G24" s="7">
        <f t="shared" si="9"/>
        <v>254362318</v>
      </c>
      <c r="H24" s="19">
        <f t="shared" si="9"/>
        <v>3264352716</v>
      </c>
      <c r="I24" s="47">
        <f t="shared" si="9"/>
        <v>2542108008</v>
      </c>
      <c r="J24" s="7">
        <f t="shared" si="9"/>
        <v>1486252461</v>
      </c>
      <c r="K24" s="20">
        <f t="shared" si="9"/>
        <v>1506097810</v>
      </c>
      <c r="M24" s="8">
        <f>SUM(M2:M23)</f>
        <v>781647880</v>
      </c>
      <c r="Q24" s="10">
        <f>+M24/($K$24)</f>
        <v>0.51898878997772391</v>
      </c>
      <c r="T24" s="8">
        <f>+I26-K24</f>
        <v>960180570</v>
      </c>
    </row>
    <row r="25" spans="1:28" ht="15.75" thickBot="1" x14ac:dyDescent="0.3">
      <c r="B25" s="3"/>
      <c r="C25" s="4"/>
      <c r="D25" s="4"/>
      <c r="E25" s="4"/>
      <c r="F25" s="5"/>
      <c r="G25" s="25">
        <f>+G24/J24</f>
        <v>0.1711434124918835</v>
      </c>
      <c r="H25" s="3"/>
      <c r="I25" s="39" t="s">
        <v>87</v>
      </c>
      <c r="J25" s="7">
        <v>1485558846</v>
      </c>
      <c r="K25" s="8">
        <f>+(K24-J24)/100*0.295</f>
        <v>58543.779549999992</v>
      </c>
      <c r="M25" s="32"/>
      <c r="T25" s="29">
        <f>+G29/T24</f>
        <v>0.23625623563701148</v>
      </c>
    </row>
    <row r="26" spans="1:28" ht="15.75" thickBot="1" x14ac:dyDescent="0.3">
      <c r="B26" s="3"/>
      <c r="C26" s="4"/>
      <c r="D26" s="4">
        <f>+C2-D2</f>
        <v>680</v>
      </c>
      <c r="E26" s="4"/>
      <c r="F26" s="5"/>
      <c r="G26" s="25"/>
      <c r="H26" s="9" t="s">
        <v>88</v>
      </c>
      <c r="I26" s="47">
        <f>2219928795+246349585</f>
        <v>2466278380</v>
      </c>
      <c r="J26" s="7"/>
      <c r="K26" s="29">
        <f>+(I24-K24)/K24</f>
        <v>0.68787710274938918</v>
      </c>
    </row>
    <row r="28" spans="1:28" ht="17.25" x14ac:dyDescent="0.4">
      <c r="B28" s="3"/>
      <c r="C28" s="4"/>
      <c r="D28" s="4"/>
      <c r="E28" s="4"/>
      <c r="G28" s="51" t="s">
        <v>89</v>
      </c>
      <c r="I28" s="27" t="s">
        <v>90</v>
      </c>
      <c r="J28" s="35" t="s">
        <v>91</v>
      </c>
      <c r="K28" s="20">
        <v>1486252461</v>
      </c>
      <c r="S28" s="3" t="s">
        <v>92</v>
      </c>
      <c r="AB28" s="33"/>
    </row>
    <row r="29" spans="1:28" x14ac:dyDescent="0.25">
      <c r="B29" s="3"/>
      <c r="C29" s="4"/>
      <c r="D29" s="4"/>
      <c r="E29" s="4"/>
      <c r="G29" s="7">
        <v>226848647</v>
      </c>
      <c r="H29" s="3"/>
      <c r="I29" s="25">
        <f>+(I24-G29-K24-H34)/K24</f>
        <v>0.53266724224238793</v>
      </c>
      <c r="J29" s="39" t="s">
        <v>93</v>
      </c>
      <c r="K29" s="20">
        <f>+K24-K28</f>
        <v>19845349</v>
      </c>
      <c r="M29" s="33">
        <f>+K29/100*0.295</f>
        <v>58543.779549999992</v>
      </c>
      <c r="R29" s="72" t="s">
        <v>94</v>
      </c>
      <c r="S29" s="6">
        <v>237204</v>
      </c>
      <c r="U29" s="6">
        <v>260833436</v>
      </c>
      <c r="V29" s="6">
        <f>+U29*V20</f>
        <v>80372065.533559307</v>
      </c>
      <c r="W29" s="6">
        <f>+V29/100*0.295</f>
        <v>237097.59332399993</v>
      </c>
    </row>
    <row r="30" spans="1:28" x14ac:dyDescent="0.25">
      <c r="B30" s="3"/>
      <c r="C30" s="4"/>
      <c r="D30" s="4"/>
      <c r="E30" s="4"/>
      <c r="H30" s="3"/>
      <c r="I30" s="29"/>
      <c r="J30" s="29"/>
      <c r="K30" s="3"/>
      <c r="R30" s="72" t="s">
        <v>95</v>
      </c>
      <c r="S30" s="6">
        <f>343626401/100*0.0909</f>
        <v>312356.39850899996</v>
      </c>
      <c r="U30" s="6">
        <v>343670801</v>
      </c>
      <c r="V30" s="6">
        <f>+U30*V20</f>
        <v>105897206.13864405</v>
      </c>
      <c r="W30" s="6">
        <f>+V30/100*0.295</f>
        <v>312396.75810899999</v>
      </c>
    </row>
    <row r="31" spans="1:28" x14ac:dyDescent="0.25">
      <c r="G31" s="25">
        <f>+G29/I24</f>
        <v>8.9236431452207596E-2</v>
      </c>
      <c r="R31" s="72" t="s">
        <v>96</v>
      </c>
      <c r="S31" s="6">
        <f>438583308/100*0.0909</f>
        <v>398672.22697199997</v>
      </c>
    </row>
    <row r="32" spans="1:28" x14ac:dyDescent="0.25">
      <c r="F32" s="37" t="s">
        <v>97</v>
      </c>
      <c r="G32" s="7">
        <f>+G29/100*0.295</f>
        <v>669203.50864999997</v>
      </c>
      <c r="K32" s="7">
        <v>1192988633</v>
      </c>
    </row>
    <row r="33" spans="2:25" x14ac:dyDescent="0.25">
      <c r="B33" s="27" t="s">
        <v>98</v>
      </c>
      <c r="H33" s="36" t="s">
        <v>99</v>
      </c>
      <c r="K33" s="30">
        <f>+K32-K2</f>
        <v>556353459</v>
      </c>
    </row>
    <row r="34" spans="2:25" x14ac:dyDescent="0.25">
      <c r="B34" s="26">
        <f>500000*100/I26</f>
        <v>2.0273461587089776E-2</v>
      </c>
      <c r="H34" s="68">
        <v>6912584</v>
      </c>
    </row>
    <row r="35" spans="2:25" x14ac:dyDescent="0.25">
      <c r="B35" s="10">
        <f>+B34/0.295</f>
        <v>6.8723598600304331E-2</v>
      </c>
      <c r="K35" s="8"/>
    </row>
    <row r="36" spans="2:25" x14ac:dyDescent="0.25">
      <c r="B36" s="10">
        <f>+(B34+K41)/K41</f>
        <v>1.1216259311589374</v>
      </c>
      <c r="K36" s="8">
        <f>+K32+G24</f>
        <v>1447350951</v>
      </c>
    </row>
    <row r="37" spans="2:25" x14ac:dyDescent="0.25">
      <c r="G37" s="29">
        <f>240000000/K32</f>
        <v>0.20117542896990873</v>
      </c>
      <c r="I37" s="6">
        <f>+I2-K21</f>
        <v>907585873</v>
      </c>
      <c r="K37" s="2">
        <f>+K36-620113658</f>
        <v>827237293</v>
      </c>
    </row>
    <row r="39" spans="2:25" x14ac:dyDescent="0.25">
      <c r="K39" s="6"/>
      <c r="S39" s="1">
        <f>(1373409022/100*K41)-117376</f>
        <v>2171918.2965011401</v>
      </c>
    </row>
    <row r="40" spans="2:25" x14ac:dyDescent="0.25">
      <c r="M40" s="9" t="s">
        <v>100</v>
      </c>
      <c r="N40" s="9" t="s">
        <v>101</v>
      </c>
      <c r="S40" s="38">
        <f>+S39-1666794</f>
        <v>505124.29650114011</v>
      </c>
    </row>
    <row r="41" spans="2:25" x14ac:dyDescent="0.25">
      <c r="J41" s="6" t="s">
        <v>102</v>
      </c>
      <c r="K41">
        <v>0.166687</v>
      </c>
      <c r="M41" s="33">
        <f>+K28/100*K41</f>
        <v>2477389.63966707</v>
      </c>
      <c r="N41" s="8">
        <f>+M41-(S30*(K41/0.295))</f>
        <v>2300895.5684864949</v>
      </c>
      <c r="T41" s="29">
        <f>500000/M41</f>
        <v>0.20182533744154743</v>
      </c>
    </row>
    <row r="42" spans="2:25" x14ac:dyDescent="0.25">
      <c r="J42" s="6" t="s">
        <v>103</v>
      </c>
      <c r="K42">
        <v>0.12831300000000001</v>
      </c>
      <c r="M42" s="32">
        <f>+K42*K28/100</f>
        <v>1907055.1202829301</v>
      </c>
      <c r="N42" s="8">
        <f>+M42-(S30*(K42/0.295))</f>
        <v>1771192.7929545052</v>
      </c>
      <c r="T42" s="29">
        <f ca="1">500000/SUM(M45:Q45)</f>
        <v>0.24582609311901141</v>
      </c>
    </row>
    <row r="44" spans="2:25" x14ac:dyDescent="0.25">
      <c r="K44" s="9" t="s">
        <v>102</v>
      </c>
      <c r="L44" s="9"/>
      <c r="M44" s="9" t="s">
        <v>104</v>
      </c>
      <c r="N44" s="3" t="s">
        <v>105</v>
      </c>
      <c r="O44" s="9"/>
      <c r="P44" s="9" t="s">
        <v>106</v>
      </c>
      <c r="Q44" s="9" t="s">
        <v>107</v>
      </c>
      <c r="S44" s="9" t="s">
        <v>108</v>
      </c>
    </row>
    <row r="45" spans="2:25" x14ac:dyDescent="0.25">
      <c r="J45" s="7" t="s">
        <v>19</v>
      </c>
      <c r="K45" s="34">
        <f>+(M41/(I26-G29-H34))*100</f>
        <v>0.11096844836227819</v>
      </c>
      <c r="M45" s="8">
        <f>+(($I$26-$G$29)/100*K45)-(S31*(K45/0.295))</f>
        <v>2335094.1948999926</v>
      </c>
      <c r="N45" s="8">
        <f>+M45-$N$41</f>
        <v>34198.626413497608</v>
      </c>
      <c r="O45" s="8"/>
      <c r="P45" s="8">
        <f ca="1">+SUM(M45:Q45)-$M$41</f>
        <v>317270.62214868562</v>
      </c>
      <c r="Q45" s="8">
        <f>+$G$29/100*K45</f>
        <v>251730.42370672175</v>
      </c>
      <c r="R45" s="8"/>
      <c r="S45" s="8">
        <f>N45+Q45</f>
        <v>285929.05012021936</v>
      </c>
    </row>
    <row r="46" spans="2:25" x14ac:dyDescent="0.25">
      <c r="J46" s="7" t="s">
        <v>20</v>
      </c>
      <c r="K46" s="34">
        <f>+K45*1.035</f>
        <v>0.11485234405495792</v>
      </c>
      <c r="M46" s="8">
        <f>+(($I$26-$G$29)/100*K46)-(S31*(K46/0.295))</f>
        <v>2416822.4917214923</v>
      </c>
      <c r="N46" s="8">
        <f>+M46-$N$41</f>
        <v>115926.92323499732</v>
      </c>
      <c r="O46" s="8"/>
      <c r="P46" s="8">
        <f ca="1">+SUM(M46:Q46)-$M$41</f>
        <v>388459.15945146768</v>
      </c>
      <c r="Q46" s="8">
        <f>+$G$29/100*K46</f>
        <v>260540.98853645701</v>
      </c>
      <c r="R46" s="8"/>
      <c r="S46" s="8">
        <f>N46+Q46</f>
        <v>376467.91177145432</v>
      </c>
      <c r="Y46">
        <f>13.77/12</f>
        <v>1.1475</v>
      </c>
    </row>
    <row r="47" spans="2:25" x14ac:dyDescent="0.25">
      <c r="J47" s="7" t="s">
        <v>21</v>
      </c>
      <c r="K47" s="34">
        <f>+K45+B34</f>
        <v>0.13124190994936796</v>
      </c>
      <c r="M47" s="8">
        <f>+(($I$26-G29)/100*K47)-(S31*(K47/0.295))</f>
        <v>2761705.9314901014</v>
      </c>
      <c r="N47" s="8">
        <f>+M47-$N$41</f>
        <v>460810.36300360644</v>
      </c>
      <c r="O47" s="8"/>
      <c r="P47" s="8">
        <f ca="1">+SUM(M47:Q47)-$M$41</f>
        <v>816215.62233919813</v>
      </c>
      <c r="Q47" s="8">
        <f>+$G$29/100*K47</f>
        <v>297720.49701709964</v>
      </c>
      <c r="R47" s="8"/>
      <c r="S47" s="8">
        <f>N47+Q47</f>
        <v>758530.86002070608</v>
      </c>
      <c r="T47" s="8">
        <f>+(K47*I26/100)-(S30*(K47/0.295))</f>
        <v>3097827.2901558322</v>
      </c>
      <c r="U47" s="32">
        <f>+T47-M47-Q47</f>
        <v>38400.861648631166</v>
      </c>
    </row>
    <row r="48" spans="2:25" x14ac:dyDescent="0.25">
      <c r="J48" s="7"/>
      <c r="K48" s="34"/>
      <c r="M48" s="32"/>
      <c r="N48" s="32"/>
      <c r="P48" s="32">
        <f>+SUM(M48:N48)-$M$41</f>
        <v>-2477389.63966707</v>
      </c>
    </row>
    <row r="49" spans="10:20" x14ac:dyDescent="0.25">
      <c r="J49" s="6" t="s">
        <v>109</v>
      </c>
      <c r="K49" s="34">
        <f>0.295-K47</f>
        <v>0.16375809005063202</v>
      </c>
      <c r="T49" s="8">
        <f>+(K49*I26/100)-(S30*(K49/0.295))</f>
        <v>3865337.5323351668</v>
      </c>
    </row>
    <row r="51" spans="10:20" x14ac:dyDescent="0.25">
      <c r="J51" s="7" t="s">
        <v>110</v>
      </c>
      <c r="K51" s="25">
        <f>+K47/0.295</f>
        <v>0.4448878303368406</v>
      </c>
    </row>
    <row r="52" spans="10:20" x14ac:dyDescent="0.25">
      <c r="J52" s="7" t="s">
        <v>111</v>
      </c>
      <c r="K52" s="45">
        <f>+K51-(K41/0.295)</f>
        <v>-0.12015284762926109</v>
      </c>
    </row>
    <row r="54" spans="10:20" x14ac:dyDescent="0.25">
      <c r="M54" s="6">
        <f>+K28/100*0.295</f>
        <v>4384444.7599499999</v>
      </c>
    </row>
    <row r="55" spans="10:20" x14ac:dyDescent="0.25">
      <c r="M55" s="6">
        <f>+I26/100*0.295</f>
        <v>7275521.2209999999</v>
      </c>
    </row>
    <row r="56" spans="10:20" x14ac:dyDescent="0.25">
      <c r="M56" s="8">
        <f>+M55-M54</f>
        <v>2891076.46105</v>
      </c>
      <c r="N56" s="29">
        <f>+M56/M54</f>
        <v>0.65939397559725899</v>
      </c>
    </row>
    <row r="60" spans="10:20" x14ac:dyDescent="0.25">
      <c r="K60" s="52">
        <v>0.29499999999999998</v>
      </c>
    </row>
    <row r="61" spans="10:20" x14ac:dyDescent="0.25">
      <c r="K61" s="52">
        <v>3.5993999999999998E-2</v>
      </c>
    </row>
    <row r="62" spans="10:20" x14ac:dyDescent="0.25">
      <c r="K62" s="52">
        <v>0.130693</v>
      </c>
    </row>
    <row r="63" spans="10:20" x14ac:dyDescent="0.25">
      <c r="J63" s="49">
        <f>+K63-K41</f>
        <v>0</v>
      </c>
      <c r="K63" s="52">
        <f>+K61+K62</f>
        <v>0.166687</v>
      </c>
      <c r="M63" s="44">
        <f>+K63/K60</f>
        <v>0.56504067796610169</v>
      </c>
    </row>
    <row r="64" spans="10:20" x14ac:dyDescent="0.25">
      <c r="K64" s="52">
        <f>+K60-K63</f>
        <v>0.12831299999999998</v>
      </c>
      <c r="Q64" s="52">
        <f>+K42-K64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1738-3962-4645-8913-B4D589F4C293}">
  <dimension ref="A1:L27"/>
  <sheetViews>
    <sheetView zoomScale="80" zoomScaleNormal="80" workbookViewId="0">
      <selection activeCell="C21" sqref="C21:D21"/>
    </sheetView>
  </sheetViews>
  <sheetFormatPr defaultColWidth="8.85546875" defaultRowHeight="15" x14ac:dyDescent="0.25"/>
  <cols>
    <col min="1" max="1" width="6.85546875" bestFit="1" customWidth="1"/>
    <col min="2" max="2" width="34.85546875" bestFit="1" customWidth="1"/>
    <col min="3" max="5" width="7.42578125" bestFit="1" customWidth="1"/>
    <col min="6" max="6" width="13.42578125" style="30" bestFit="1" customWidth="1"/>
    <col min="7" max="7" width="15.7109375" customWidth="1"/>
    <col min="8" max="8" width="23.42578125" customWidth="1"/>
    <col min="9" max="9" width="13.7109375" bestFit="1" customWidth="1"/>
    <col min="10" max="10" width="17" customWidth="1"/>
    <col min="11" max="11" width="22.28515625" bestFit="1" customWidth="1"/>
    <col min="12" max="13" width="14.85546875" bestFit="1" customWidth="1"/>
  </cols>
  <sheetData>
    <row r="1" spans="1:12" ht="45" x14ac:dyDescent="0.25">
      <c r="A1" s="14" t="s">
        <v>27</v>
      </c>
      <c r="B1" s="14" t="s">
        <v>28</v>
      </c>
      <c r="C1" s="40" t="s">
        <v>29</v>
      </c>
      <c r="D1" s="40" t="s">
        <v>30</v>
      </c>
      <c r="E1" s="40" t="s">
        <v>31</v>
      </c>
      <c r="F1" s="40" t="s">
        <v>112</v>
      </c>
      <c r="G1" s="55" t="s">
        <v>113</v>
      </c>
      <c r="H1" s="17" t="s">
        <v>114</v>
      </c>
      <c r="I1" s="55" t="s">
        <v>115</v>
      </c>
      <c r="J1" s="55" t="s">
        <v>116</v>
      </c>
      <c r="K1" s="17" t="s">
        <v>117</v>
      </c>
      <c r="L1" s="16" t="s">
        <v>39</v>
      </c>
    </row>
    <row r="2" spans="1:12" x14ac:dyDescent="0.25">
      <c r="A2" t="s">
        <v>118</v>
      </c>
      <c r="B2" t="s">
        <v>119</v>
      </c>
      <c r="C2" s="2">
        <v>4</v>
      </c>
      <c r="D2" s="2">
        <v>4</v>
      </c>
      <c r="E2" s="29">
        <f>+(C2-D2)/D2</f>
        <v>0</v>
      </c>
      <c r="F2" s="2">
        <v>64469902</v>
      </c>
      <c r="G2" s="2">
        <v>0</v>
      </c>
      <c r="H2" s="2">
        <v>58112498</v>
      </c>
      <c r="I2" s="2">
        <v>0</v>
      </c>
      <c r="J2" s="2">
        <f>+SUM(F2:G2)</f>
        <v>64469902</v>
      </c>
      <c r="K2" s="2">
        <f>+SUM(H2:I2)</f>
        <v>58112498</v>
      </c>
      <c r="L2" s="53">
        <f>+IFERROR(((J2-K2)/K2),0)</f>
        <v>0.10939822273687151</v>
      </c>
    </row>
    <row r="3" spans="1:12" x14ac:dyDescent="0.25">
      <c r="A3" t="s">
        <v>120</v>
      </c>
      <c r="B3" t="s">
        <v>121</v>
      </c>
      <c r="C3" s="58">
        <v>11</v>
      </c>
      <c r="D3" s="2">
        <v>13</v>
      </c>
      <c r="E3" s="29">
        <f t="shared" ref="E3:E21" si="0">+(C3-D3)/D3</f>
        <v>-0.15384615384615385</v>
      </c>
      <c r="F3" s="2">
        <v>1000000</v>
      </c>
      <c r="G3" s="2">
        <v>0</v>
      </c>
      <c r="H3" s="2">
        <v>172500</v>
      </c>
      <c r="I3" s="2">
        <v>0</v>
      </c>
      <c r="J3" s="2">
        <f t="shared" ref="J3:J21" si="1">+SUM(F3:G3)</f>
        <v>1000000</v>
      </c>
      <c r="K3" s="2">
        <f t="shared" ref="K3:K21" si="2">+SUM(H3:I3)</f>
        <v>172500</v>
      </c>
      <c r="L3" s="53">
        <f t="shared" ref="L3:L21" si="3">+IFERROR(((J3-K3)/K3),0)</f>
        <v>4.7971014492753623</v>
      </c>
    </row>
    <row r="4" spans="1:12" x14ac:dyDescent="0.25">
      <c r="A4" t="s">
        <v>122</v>
      </c>
      <c r="B4" t="s">
        <v>123</v>
      </c>
      <c r="C4" s="2">
        <v>12</v>
      </c>
      <c r="D4" s="2">
        <v>9</v>
      </c>
      <c r="E4" s="29">
        <f t="shared" si="0"/>
        <v>0.33333333333333331</v>
      </c>
      <c r="F4" s="2">
        <v>0</v>
      </c>
      <c r="G4" s="2">
        <v>74000</v>
      </c>
      <c r="H4" s="2">
        <v>0</v>
      </c>
      <c r="I4" s="2">
        <v>59000</v>
      </c>
      <c r="J4" s="2">
        <f t="shared" si="1"/>
        <v>74000</v>
      </c>
      <c r="K4" s="2">
        <f t="shared" si="2"/>
        <v>59000</v>
      </c>
      <c r="L4" s="53">
        <f t="shared" si="3"/>
        <v>0.25423728813559321</v>
      </c>
    </row>
    <row r="5" spans="1:12" x14ac:dyDescent="0.25">
      <c r="A5" t="s">
        <v>124</v>
      </c>
      <c r="B5" t="s">
        <v>125</v>
      </c>
      <c r="C5" s="2">
        <v>1</v>
      </c>
      <c r="D5" s="2">
        <v>1</v>
      </c>
      <c r="E5" s="29">
        <f t="shared" si="0"/>
        <v>0</v>
      </c>
      <c r="F5" s="2">
        <v>0</v>
      </c>
      <c r="G5" s="2">
        <v>5000</v>
      </c>
      <c r="H5" s="2">
        <v>0</v>
      </c>
      <c r="I5" s="2">
        <v>5000</v>
      </c>
      <c r="J5" s="2">
        <f t="shared" si="1"/>
        <v>5000</v>
      </c>
      <c r="K5" s="2">
        <f t="shared" si="2"/>
        <v>5000</v>
      </c>
      <c r="L5" s="53">
        <f t="shared" si="3"/>
        <v>0</v>
      </c>
    </row>
    <row r="6" spans="1:12" x14ac:dyDescent="0.25">
      <c r="A6" t="s">
        <v>126</v>
      </c>
      <c r="B6" t="s">
        <v>127</v>
      </c>
      <c r="C6" s="2">
        <v>16</v>
      </c>
      <c r="D6" s="2">
        <v>14</v>
      </c>
      <c r="E6" s="29">
        <f t="shared" si="0"/>
        <v>0.14285714285714285</v>
      </c>
      <c r="F6" s="2">
        <v>0</v>
      </c>
      <c r="G6" s="2">
        <v>133500</v>
      </c>
      <c r="H6" s="2">
        <v>0</v>
      </c>
      <c r="I6" s="2">
        <v>114000</v>
      </c>
      <c r="J6" s="2">
        <f t="shared" si="1"/>
        <v>133500</v>
      </c>
      <c r="K6" s="2">
        <f t="shared" si="2"/>
        <v>114000</v>
      </c>
      <c r="L6" s="53">
        <f t="shared" si="3"/>
        <v>0.17105263157894737</v>
      </c>
    </row>
    <row r="7" spans="1:12" x14ac:dyDescent="0.25">
      <c r="A7" t="s">
        <v>128</v>
      </c>
      <c r="B7" t="s">
        <v>129</v>
      </c>
      <c r="C7" s="2">
        <v>20</v>
      </c>
      <c r="D7" s="2">
        <v>16</v>
      </c>
      <c r="E7" s="29">
        <f t="shared" si="0"/>
        <v>0.25</v>
      </c>
      <c r="F7" s="2">
        <v>0</v>
      </c>
      <c r="G7" s="2">
        <v>202000</v>
      </c>
      <c r="H7" s="2">
        <v>0</v>
      </c>
      <c r="I7" s="2">
        <v>164000</v>
      </c>
      <c r="J7" s="2">
        <f t="shared" si="1"/>
        <v>202000</v>
      </c>
      <c r="K7" s="2">
        <f t="shared" si="2"/>
        <v>164000</v>
      </c>
      <c r="L7" s="53">
        <f t="shared" si="3"/>
        <v>0.23170731707317074</v>
      </c>
    </row>
    <row r="8" spans="1:12" x14ac:dyDescent="0.25">
      <c r="A8" t="s">
        <v>130</v>
      </c>
      <c r="B8" t="s">
        <v>131</v>
      </c>
      <c r="C8" s="2">
        <v>0</v>
      </c>
      <c r="D8" s="2">
        <v>1</v>
      </c>
      <c r="E8" s="29">
        <f t="shared" si="0"/>
        <v>-1</v>
      </c>
      <c r="F8" s="2">
        <v>0</v>
      </c>
      <c r="G8" s="2">
        <v>0</v>
      </c>
      <c r="H8" s="2">
        <v>0</v>
      </c>
      <c r="I8" s="2">
        <v>5000</v>
      </c>
      <c r="J8" s="2">
        <f t="shared" si="1"/>
        <v>0</v>
      </c>
      <c r="K8" s="2">
        <f t="shared" si="2"/>
        <v>5000</v>
      </c>
      <c r="L8" s="53">
        <f t="shared" si="3"/>
        <v>-1</v>
      </c>
    </row>
    <row r="9" spans="1:12" x14ac:dyDescent="0.25">
      <c r="A9" t="s">
        <v>132</v>
      </c>
      <c r="B9" t="s">
        <v>133</v>
      </c>
      <c r="C9" s="2">
        <v>79</v>
      </c>
      <c r="D9" s="2">
        <v>63</v>
      </c>
      <c r="E9" s="29">
        <f t="shared" si="0"/>
        <v>0.25396825396825395</v>
      </c>
      <c r="F9" s="2">
        <v>0</v>
      </c>
      <c r="G9" s="2">
        <v>504000</v>
      </c>
      <c r="H9" s="2">
        <v>0</v>
      </c>
      <c r="I9" s="2">
        <v>450000</v>
      </c>
      <c r="J9" s="2">
        <f t="shared" si="1"/>
        <v>504000</v>
      </c>
      <c r="K9" s="2">
        <f t="shared" si="2"/>
        <v>450000</v>
      </c>
      <c r="L9" s="53">
        <f t="shared" si="3"/>
        <v>0.12</v>
      </c>
    </row>
    <row r="10" spans="1:12" x14ac:dyDescent="0.25">
      <c r="A10" t="s">
        <v>134</v>
      </c>
      <c r="B10" t="s">
        <v>135</v>
      </c>
      <c r="C10" s="2">
        <v>1</v>
      </c>
      <c r="D10" s="2">
        <v>1</v>
      </c>
      <c r="E10" s="29">
        <f t="shared" si="0"/>
        <v>0</v>
      </c>
      <c r="F10" s="2">
        <v>0</v>
      </c>
      <c r="G10" s="2">
        <v>0</v>
      </c>
      <c r="H10" s="2">
        <v>0</v>
      </c>
      <c r="I10" s="2">
        <v>0</v>
      </c>
      <c r="J10" s="2">
        <f t="shared" si="1"/>
        <v>0</v>
      </c>
      <c r="K10" s="2">
        <f t="shared" si="2"/>
        <v>0</v>
      </c>
      <c r="L10" s="53">
        <f t="shared" si="3"/>
        <v>0</v>
      </c>
    </row>
    <row r="11" spans="1:12" x14ac:dyDescent="0.25">
      <c r="A11" t="s">
        <v>136</v>
      </c>
      <c r="B11" t="s">
        <v>137</v>
      </c>
      <c r="C11" s="2">
        <v>46</v>
      </c>
      <c r="D11" s="2">
        <v>46</v>
      </c>
      <c r="E11" s="29">
        <f t="shared" si="0"/>
        <v>0</v>
      </c>
      <c r="F11" s="2">
        <v>0</v>
      </c>
      <c r="G11" s="2">
        <v>23847819</v>
      </c>
      <c r="H11" s="2">
        <v>0</v>
      </c>
      <c r="I11" s="2">
        <v>16563704</v>
      </c>
      <c r="J11" s="2">
        <f t="shared" si="1"/>
        <v>23847819</v>
      </c>
      <c r="K11" s="2">
        <f t="shared" si="2"/>
        <v>16563704</v>
      </c>
      <c r="L11" s="53">
        <f t="shared" si="3"/>
        <v>0.43976365431306913</v>
      </c>
    </row>
    <row r="12" spans="1:12" x14ac:dyDescent="0.25">
      <c r="A12" t="s">
        <v>138</v>
      </c>
      <c r="B12" t="s">
        <v>139</v>
      </c>
      <c r="C12" s="2">
        <v>1</v>
      </c>
      <c r="D12" s="2">
        <v>1</v>
      </c>
      <c r="E12" s="29">
        <f t="shared" si="0"/>
        <v>0</v>
      </c>
      <c r="F12" s="2">
        <v>0</v>
      </c>
      <c r="G12" s="2">
        <v>464206</v>
      </c>
      <c r="H12" s="2">
        <v>0</v>
      </c>
      <c r="I12" s="2">
        <v>422005</v>
      </c>
      <c r="J12" s="2">
        <f t="shared" si="1"/>
        <v>464206</v>
      </c>
      <c r="K12" s="2">
        <f t="shared" si="2"/>
        <v>422005</v>
      </c>
      <c r="L12" s="53">
        <f t="shared" si="3"/>
        <v>0.10000118482008508</v>
      </c>
    </row>
    <row r="13" spans="1:12" x14ac:dyDescent="0.25">
      <c r="A13" t="s">
        <v>140</v>
      </c>
      <c r="B13" t="s">
        <v>141</v>
      </c>
      <c r="C13" s="2">
        <v>5</v>
      </c>
      <c r="D13" s="2">
        <v>5</v>
      </c>
      <c r="E13" s="29">
        <f t="shared" si="0"/>
        <v>0</v>
      </c>
      <c r="F13" s="2">
        <v>0</v>
      </c>
      <c r="G13" s="2">
        <v>574851</v>
      </c>
      <c r="H13" s="2">
        <v>0</v>
      </c>
      <c r="I13" s="2">
        <v>312851</v>
      </c>
      <c r="J13" s="2">
        <f t="shared" si="1"/>
        <v>574851</v>
      </c>
      <c r="K13" s="2">
        <f t="shared" si="2"/>
        <v>312851</v>
      </c>
      <c r="L13" s="53">
        <f t="shared" si="3"/>
        <v>0.8374593656405126</v>
      </c>
    </row>
    <row r="14" spans="1:12" x14ac:dyDescent="0.25">
      <c r="A14" t="s">
        <v>142</v>
      </c>
      <c r="B14" t="s">
        <v>143</v>
      </c>
      <c r="C14" s="2">
        <v>4</v>
      </c>
      <c r="D14" s="2">
        <v>4</v>
      </c>
      <c r="E14" s="29">
        <f t="shared" si="0"/>
        <v>0</v>
      </c>
      <c r="F14" s="2">
        <v>0</v>
      </c>
      <c r="G14" s="2">
        <v>1860</v>
      </c>
      <c r="H14" s="2">
        <v>0</v>
      </c>
      <c r="I14" s="2">
        <v>1860</v>
      </c>
      <c r="J14" s="2">
        <f t="shared" si="1"/>
        <v>1860</v>
      </c>
      <c r="K14" s="2">
        <f t="shared" si="2"/>
        <v>1860</v>
      </c>
      <c r="L14" s="53">
        <f t="shared" si="3"/>
        <v>0</v>
      </c>
    </row>
    <row r="15" spans="1:12" x14ac:dyDescent="0.25">
      <c r="A15" t="s">
        <v>144</v>
      </c>
      <c r="B15" t="s">
        <v>145</v>
      </c>
      <c r="C15" s="2">
        <v>207</v>
      </c>
      <c r="D15" s="2">
        <v>92</v>
      </c>
      <c r="E15" s="29">
        <f t="shared" si="0"/>
        <v>1.25</v>
      </c>
      <c r="F15" s="2">
        <v>0</v>
      </c>
      <c r="G15" s="2">
        <v>24265888</v>
      </c>
      <c r="H15" s="2">
        <v>0</v>
      </c>
      <c r="I15" s="2">
        <v>10406105</v>
      </c>
      <c r="J15" s="2">
        <f t="shared" si="1"/>
        <v>24265888</v>
      </c>
      <c r="K15" s="2">
        <f t="shared" si="2"/>
        <v>10406105</v>
      </c>
      <c r="L15" s="53">
        <f t="shared" si="3"/>
        <v>1.3318895975006979</v>
      </c>
    </row>
    <row r="16" spans="1:12" x14ac:dyDescent="0.25">
      <c r="A16" t="s">
        <v>146</v>
      </c>
      <c r="B16" t="s">
        <v>147</v>
      </c>
      <c r="C16" s="2">
        <v>203</v>
      </c>
      <c r="D16" s="2">
        <v>233</v>
      </c>
      <c r="E16" s="29">
        <f t="shared" si="0"/>
        <v>-0.12875536480686695</v>
      </c>
      <c r="F16" s="2">
        <v>0</v>
      </c>
      <c r="G16" s="2">
        <v>41376</v>
      </c>
      <c r="H16" s="2">
        <v>0</v>
      </c>
      <c r="I16" s="2">
        <v>12083</v>
      </c>
      <c r="J16" s="2">
        <f t="shared" si="1"/>
        <v>41376</v>
      </c>
      <c r="K16" s="2">
        <f t="shared" si="2"/>
        <v>12083</v>
      </c>
      <c r="L16" s="53">
        <f t="shared" si="3"/>
        <v>2.4243151535214764</v>
      </c>
    </row>
    <row r="17" spans="1:12" x14ac:dyDescent="0.25">
      <c r="A17" t="s">
        <v>148</v>
      </c>
      <c r="B17" t="s">
        <v>149</v>
      </c>
      <c r="C17" s="2">
        <v>10</v>
      </c>
      <c r="D17" s="2">
        <v>10</v>
      </c>
      <c r="E17" s="29">
        <f t="shared" si="0"/>
        <v>0</v>
      </c>
      <c r="F17" s="2">
        <v>641328701</v>
      </c>
      <c r="G17" s="2">
        <v>0</v>
      </c>
      <c r="H17" s="2">
        <v>605514532</v>
      </c>
      <c r="I17" s="2">
        <v>0</v>
      </c>
      <c r="J17" s="2">
        <f t="shared" si="1"/>
        <v>641328701</v>
      </c>
      <c r="K17" s="2">
        <f t="shared" si="2"/>
        <v>605514532</v>
      </c>
      <c r="L17" s="53">
        <f t="shared" si="3"/>
        <v>5.9146671313909938E-2</v>
      </c>
    </row>
    <row r="18" spans="1:12" x14ac:dyDescent="0.25">
      <c r="A18" t="s">
        <v>150</v>
      </c>
      <c r="B18" t="s">
        <v>151</v>
      </c>
      <c r="C18" s="58">
        <v>1852</v>
      </c>
      <c r="D18" s="58">
        <v>1393</v>
      </c>
      <c r="E18" s="29">
        <f t="shared" si="0"/>
        <v>0.32950466618808327</v>
      </c>
      <c r="F18" s="2">
        <v>179334080</v>
      </c>
      <c r="G18" s="2">
        <v>0</v>
      </c>
      <c r="H18" s="2">
        <v>113876208</v>
      </c>
      <c r="I18" s="2">
        <v>0</v>
      </c>
      <c r="J18" s="2">
        <f t="shared" si="1"/>
        <v>179334080</v>
      </c>
      <c r="K18" s="2">
        <f t="shared" si="2"/>
        <v>113876208</v>
      </c>
      <c r="L18" s="53">
        <f t="shared" si="3"/>
        <v>0.57481604937178798</v>
      </c>
    </row>
    <row r="19" spans="1:12" x14ac:dyDescent="0.25">
      <c r="A19" t="s">
        <v>152</v>
      </c>
      <c r="B19" t="s">
        <v>153</v>
      </c>
      <c r="C19" s="2">
        <v>266</v>
      </c>
      <c r="D19" s="2">
        <v>214</v>
      </c>
      <c r="E19" s="29">
        <f t="shared" si="0"/>
        <v>0.24299065420560748</v>
      </c>
      <c r="F19" s="2">
        <v>25765451</v>
      </c>
      <c r="G19" s="2">
        <v>0</v>
      </c>
      <c r="H19" s="2">
        <v>309000</v>
      </c>
      <c r="I19" s="2">
        <v>0</v>
      </c>
      <c r="J19" s="2">
        <f t="shared" si="1"/>
        <v>25765451</v>
      </c>
      <c r="K19" s="2">
        <f t="shared" si="2"/>
        <v>309000</v>
      </c>
      <c r="L19" s="53">
        <f t="shared" si="3"/>
        <v>82.383336569579285</v>
      </c>
    </row>
    <row r="20" spans="1:12" x14ac:dyDescent="0.25">
      <c r="A20" t="s">
        <v>154</v>
      </c>
      <c r="B20" t="s">
        <v>153</v>
      </c>
      <c r="C20" s="2">
        <v>3</v>
      </c>
      <c r="D20" s="2">
        <v>3</v>
      </c>
      <c r="E20" s="29">
        <f t="shared" si="0"/>
        <v>0</v>
      </c>
      <c r="F20" s="2">
        <v>120252</v>
      </c>
      <c r="G20" s="2">
        <v>0</v>
      </c>
      <c r="H20" s="2">
        <v>30000</v>
      </c>
      <c r="I20" s="2">
        <v>0</v>
      </c>
      <c r="J20" s="2">
        <f t="shared" si="1"/>
        <v>120252</v>
      </c>
      <c r="K20" s="2">
        <f t="shared" si="2"/>
        <v>30000</v>
      </c>
      <c r="L20" s="53">
        <f t="shared" si="3"/>
        <v>3.0084</v>
      </c>
    </row>
    <row r="21" spans="1:12" x14ac:dyDescent="0.25">
      <c r="A21" s="11" t="s">
        <v>155</v>
      </c>
      <c r="B21" s="11" t="s">
        <v>156</v>
      </c>
      <c r="C21" s="12">
        <v>1</v>
      </c>
      <c r="D21" s="12">
        <v>1</v>
      </c>
      <c r="E21" s="42">
        <f t="shared" si="0"/>
        <v>0</v>
      </c>
      <c r="F21" s="12">
        <v>94580</v>
      </c>
      <c r="G21" s="12">
        <v>0</v>
      </c>
      <c r="H21" s="12">
        <v>94580</v>
      </c>
      <c r="I21" s="56">
        <v>0</v>
      </c>
      <c r="J21" s="12">
        <f t="shared" si="1"/>
        <v>94580</v>
      </c>
      <c r="K21" s="12">
        <f t="shared" si="2"/>
        <v>94580</v>
      </c>
      <c r="L21" s="57">
        <f t="shared" si="3"/>
        <v>0</v>
      </c>
    </row>
    <row r="22" spans="1:12" x14ac:dyDescent="0.25">
      <c r="B22" s="3" t="s">
        <v>86</v>
      </c>
      <c r="C22" s="4">
        <f>+SUM(C2:C21)</f>
        <v>2742</v>
      </c>
      <c r="D22" s="4">
        <f>+SUM(D2:D21)</f>
        <v>2124</v>
      </c>
      <c r="E22" s="21">
        <f>+(C22-D22)/D22</f>
        <v>0.29096045197740111</v>
      </c>
      <c r="F22" s="4">
        <f t="shared" ref="F22:K22" si="4">+SUM(F2:F21)</f>
        <v>912112966</v>
      </c>
      <c r="G22" s="4">
        <f t="shared" si="4"/>
        <v>50114500</v>
      </c>
      <c r="H22" s="4">
        <f t="shared" si="4"/>
        <v>778109318</v>
      </c>
      <c r="I22" s="4">
        <f t="shared" si="4"/>
        <v>28515608</v>
      </c>
      <c r="J22" s="4">
        <f t="shared" si="4"/>
        <v>962227466</v>
      </c>
      <c r="K22" s="4">
        <f t="shared" si="4"/>
        <v>806624926</v>
      </c>
    </row>
    <row r="26" spans="1:12" ht="32.25" customHeight="1" x14ac:dyDescent="0.25">
      <c r="F26" s="59" t="s">
        <v>157</v>
      </c>
      <c r="G26" s="63" t="s">
        <v>158</v>
      </c>
      <c r="H26" s="61" t="s">
        <v>159</v>
      </c>
      <c r="I26" s="60" t="s">
        <v>160</v>
      </c>
      <c r="J26" s="17" t="s">
        <v>161</v>
      </c>
      <c r="K26" s="17" t="s">
        <v>162</v>
      </c>
      <c r="L26" s="17" t="s">
        <v>163</v>
      </c>
    </row>
    <row r="27" spans="1:12" x14ac:dyDescent="0.25">
      <c r="F27" s="2">
        <v>340000</v>
      </c>
      <c r="G27" s="6">
        <v>15000</v>
      </c>
      <c r="H27" s="62">
        <v>35000</v>
      </c>
      <c r="I27" s="33">
        <f>+G27+H27</f>
        <v>50000</v>
      </c>
      <c r="J27" s="33">
        <f>+H27/100*0.295</f>
        <v>103.25</v>
      </c>
      <c r="K27" s="65">
        <f>+C19+C20+C3</f>
        <v>280</v>
      </c>
      <c r="L27" s="6">
        <f>+J27*C19</f>
        <v>27464.5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612E-E6F1-4EBC-9EE9-6EB9B7535B66}">
  <dimension ref="A1:AE81"/>
  <sheetViews>
    <sheetView tabSelected="1" workbookViewId="0">
      <selection activeCell="F4" sqref="F4"/>
    </sheetView>
  </sheetViews>
  <sheetFormatPr defaultColWidth="8.85546875" defaultRowHeight="15" x14ac:dyDescent="0.25"/>
  <cols>
    <col min="1" max="1" width="42.140625" bestFit="1" customWidth="1"/>
    <col min="2" max="2" width="8.42578125" bestFit="1" customWidth="1"/>
    <col min="3" max="3" width="16.28515625" bestFit="1" customWidth="1"/>
    <col min="4" max="4" width="18" bestFit="1" customWidth="1"/>
    <col min="5" max="32" width="16.85546875" bestFit="1" customWidth="1"/>
  </cols>
  <sheetData>
    <row r="1" spans="1:14" x14ac:dyDescent="0.25">
      <c r="E1" s="75" t="s">
        <v>164</v>
      </c>
      <c r="F1" s="75"/>
      <c r="G1" s="75"/>
      <c r="H1" s="75"/>
      <c r="I1" s="75"/>
      <c r="J1" s="75"/>
    </row>
    <row r="2" spans="1:14" x14ac:dyDescent="0.25">
      <c r="A2" s="14" t="s">
        <v>165</v>
      </c>
      <c r="B2" s="14"/>
      <c r="C2" s="11" t="s">
        <v>166</v>
      </c>
      <c r="D2" s="14" t="s">
        <v>167</v>
      </c>
      <c r="E2" s="24" t="s">
        <v>168</v>
      </c>
      <c r="F2" s="24" t="s">
        <v>169</v>
      </c>
      <c r="G2" s="24" t="s">
        <v>170</v>
      </c>
      <c r="H2" s="24" t="s">
        <v>171</v>
      </c>
      <c r="I2" s="24" t="s">
        <v>172</v>
      </c>
      <c r="J2" s="24" t="s">
        <v>173</v>
      </c>
      <c r="K2" s="24" t="s">
        <v>174</v>
      </c>
      <c r="L2" s="24" t="s">
        <v>175</v>
      </c>
      <c r="M2" s="24" t="s">
        <v>176</v>
      </c>
      <c r="N2" s="24" t="s">
        <v>177</v>
      </c>
    </row>
    <row r="3" spans="1:14" x14ac:dyDescent="0.25">
      <c r="A3" t="s">
        <v>178</v>
      </c>
      <c r="D3" s="73">
        <v>854</v>
      </c>
      <c r="E3">
        <v>600</v>
      </c>
      <c r="F3">
        <v>400</v>
      </c>
      <c r="G3">
        <v>400</v>
      </c>
      <c r="H3">
        <v>400</v>
      </c>
      <c r="I3">
        <v>400</v>
      </c>
      <c r="J3">
        <v>400</v>
      </c>
    </row>
    <row r="4" spans="1:14" x14ac:dyDescent="0.25">
      <c r="A4" t="s">
        <v>179</v>
      </c>
      <c r="D4" s="73"/>
      <c r="F4">
        <v>660</v>
      </c>
      <c r="G4">
        <v>0</v>
      </c>
      <c r="H4">
        <v>0</v>
      </c>
      <c r="I4">
        <v>0</v>
      </c>
      <c r="J4">
        <v>0</v>
      </c>
    </row>
    <row r="5" spans="1:14" x14ac:dyDescent="0.25">
      <c r="A5" t="s">
        <v>180</v>
      </c>
      <c r="D5" s="73">
        <v>207</v>
      </c>
      <c r="E5">
        <v>225</v>
      </c>
      <c r="F5">
        <v>0</v>
      </c>
      <c r="G5">
        <v>0</v>
      </c>
      <c r="H5">
        <v>0</v>
      </c>
      <c r="I5">
        <v>0</v>
      </c>
      <c r="J5">
        <v>0</v>
      </c>
    </row>
    <row r="6" spans="1:14" x14ac:dyDescent="0.25">
      <c r="D6" s="73"/>
    </row>
    <row r="7" spans="1:14" x14ac:dyDescent="0.25">
      <c r="A7" s="69" t="s">
        <v>181</v>
      </c>
      <c r="B7" s="69"/>
      <c r="D7" s="2">
        <v>400000</v>
      </c>
      <c r="E7" s="2">
        <f>+D7*(1+$B$8)</f>
        <v>413999.99999999994</v>
      </c>
      <c r="F7" s="2">
        <f t="shared" ref="F7:J7" si="0">+E7*(1+$B$8)</f>
        <v>428489.99999999988</v>
      </c>
      <c r="G7" s="2">
        <f t="shared" si="0"/>
        <v>443487.14999999985</v>
      </c>
      <c r="H7" s="2">
        <f t="shared" si="0"/>
        <v>459009.20024999982</v>
      </c>
      <c r="I7" s="2">
        <f t="shared" si="0"/>
        <v>475074.52225874976</v>
      </c>
      <c r="J7" s="2">
        <f t="shared" si="0"/>
        <v>491702.13053780596</v>
      </c>
    </row>
    <row r="8" spans="1:14" x14ac:dyDescent="0.25">
      <c r="A8" s="72" t="s">
        <v>182</v>
      </c>
      <c r="B8" s="71">
        <v>3.5000000000000003E-2</v>
      </c>
    </row>
    <row r="9" spans="1:14" x14ac:dyDescent="0.25">
      <c r="A9" s="72"/>
      <c r="B9" s="72"/>
      <c r="C9" s="29"/>
    </row>
    <row r="10" spans="1:14" x14ac:dyDescent="0.25">
      <c r="A10" s="72" t="s">
        <v>183</v>
      </c>
      <c r="B10" s="72"/>
      <c r="C10" s="29"/>
      <c r="E10" s="2">
        <f>+E7*E3</f>
        <v>248399999.99999997</v>
      </c>
      <c r="F10" s="2">
        <f>+F7*F3</f>
        <v>171395999.99999994</v>
      </c>
      <c r="G10" s="2">
        <f t="shared" ref="G10:J10" si="1">+G7*G3</f>
        <v>177394859.99999994</v>
      </c>
      <c r="H10" s="2">
        <f t="shared" si="1"/>
        <v>183603680.09999993</v>
      </c>
      <c r="I10" s="2">
        <f t="shared" si="1"/>
        <v>190029808.9034999</v>
      </c>
      <c r="J10" s="2">
        <f t="shared" si="1"/>
        <v>196680852.21512237</v>
      </c>
    </row>
    <row r="11" spans="1:14" x14ac:dyDescent="0.25">
      <c r="E11" s="1"/>
    </row>
    <row r="12" spans="1:14" x14ac:dyDescent="0.25">
      <c r="A12" s="14" t="s">
        <v>184</v>
      </c>
      <c r="B12" s="3"/>
    </row>
    <row r="13" spans="1:14" x14ac:dyDescent="0.25">
      <c r="A13" t="s">
        <v>185</v>
      </c>
      <c r="E13" s="2">
        <f>+(1000000)</f>
        <v>1000000</v>
      </c>
      <c r="F13" s="2">
        <f>+(2000000)</f>
        <v>2000000</v>
      </c>
      <c r="G13" s="2">
        <v>2000000</v>
      </c>
      <c r="H13" s="2">
        <v>2000000</v>
      </c>
      <c r="I13" s="2"/>
      <c r="J13" s="2"/>
      <c r="K13" s="2"/>
      <c r="L13" s="2"/>
      <c r="M13" s="2"/>
      <c r="N13" s="2"/>
    </row>
    <row r="14" spans="1:14" x14ac:dyDescent="0.25">
      <c r="A14" t="s">
        <v>186</v>
      </c>
      <c r="E14" s="2"/>
      <c r="F14" s="2"/>
      <c r="G14" s="2">
        <v>500000</v>
      </c>
      <c r="H14" s="2">
        <v>1000000</v>
      </c>
      <c r="I14" s="2">
        <v>1000000</v>
      </c>
      <c r="J14" s="2"/>
      <c r="K14" s="2"/>
      <c r="L14" s="2"/>
      <c r="M14" s="2"/>
      <c r="N14" s="2"/>
    </row>
    <row r="15" spans="1:14" x14ac:dyDescent="0.25">
      <c r="A15" t="s">
        <v>187</v>
      </c>
      <c r="E15" s="2"/>
      <c r="F15" s="2"/>
      <c r="G15" s="2">
        <f>12000000/5</f>
        <v>2400000</v>
      </c>
      <c r="H15" s="2">
        <f>12000000/5</f>
        <v>2400000</v>
      </c>
      <c r="I15" s="2">
        <f>12000000/5</f>
        <v>2400000</v>
      </c>
      <c r="J15" s="2">
        <f>12000000/5</f>
        <v>2400000</v>
      </c>
      <c r="K15" s="2">
        <f>12000000/5</f>
        <v>2400000</v>
      </c>
      <c r="L15" s="2"/>
      <c r="M15" s="2"/>
      <c r="N15" s="2"/>
    </row>
    <row r="16" spans="1:14" x14ac:dyDescent="0.25">
      <c r="A16" t="s">
        <v>188</v>
      </c>
      <c r="E16" s="2"/>
      <c r="F16" s="2"/>
      <c r="G16" s="2"/>
      <c r="H16" s="2">
        <v>1500000</v>
      </c>
      <c r="I16" s="2">
        <v>1000000</v>
      </c>
      <c r="J16" s="2">
        <v>1000000</v>
      </c>
      <c r="K16" s="2">
        <v>1000000</v>
      </c>
      <c r="L16" s="2">
        <v>1000000</v>
      </c>
      <c r="M16" s="2">
        <v>1000000</v>
      </c>
      <c r="N16" s="2"/>
    </row>
    <row r="17" spans="1:15" x14ac:dyDescent="0.25">
      <c r="A17" s="11" t="s">
        <v>189</v>
      </c>
      <c r="B17" s="11"/>
      <c r="C17" s="11"/>
      <c r="D17" s="11"/>
      <c r="E17" s="12"/>
      <c r="F17" s="12"/>
      <c r="G17" s="12"/>
      <c r="H17" s="12"/>
      <c r="I17" s="12"/>
      <c r="J17" s="12">
        <f>5000000/5</f>
        <v>1000000</v>
      </c>
      <c r="K17" s="12">
        <f>5000000/5</f>
        <v>1000000</v>
      </c>
      <c r="L17" s="12">
        <f>5000000/5</f>
        <v>1000000</v>
      </c>
      <c r="M17" s="12">
        <f>5000000/5</f>
        <v>1000000</v>
      </c>
      <c r="N17" s="12">
        <f>5000000/5</f>
        <v>1000000</v>
      </c>
    </row>
    <row r="18" spans="1:15" x14ac:dyDescent="0.25">
      <c r="A18" s="72" t="s">
        <v>190</v>
      </c>
      <c r="B18" s="72"/>
      <c r="E18" s="2">
        <f t="shared" ref="E18:N18" si="2">SUM(E13:E17)</f>
        <v>1000000</v>
      </c>
      <c r="F18" s="2">
        <f t="shared" si="2"/>
        <v>2000000</v>
      </c>
      <c r="G18" s="2">
        <f t="shared" si="2"/>
        <v>4900000</v>
      </c>
      <c r="H18" s="2">
        <f t="shared" si="2"/>
        <v>6900000</v>
      </c>
      <c r="I18" s="2">
        <f t="shared" si="2"/>
        <v>4400000</v>
      </c>
      <c r="J18" s="2">
        <f t="shared" si="2"/>
        <v>4400000</v>
      </c>
      <c r="K18" s="2">
        <f t="shared" si="2"/>
        <v>4400000</v>
      </c>
      <c r="L18" s="2">
        <f t="shared" si="2"/>
        <v>2000000</v>
      </c>
      <c r="M18" s="2">
        <f t="shared" si="2"/>
        <v>2000000</v>
      </c>
      <c r="N18" s="2">
        <f t="shared" si="2"/>
        <v>1000000</v>
      </c>
    </row>
    <row r="19" spans="1:15" x14ac:dyDescent="0.25">
      <c r="A19" s="72"/>
      <c r="B19" s="7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x14ac:dyDescent="0.25">
      <c r="A20" s="72" t="s">
        <v>191</v>
      </c>
      <c r="B20" s="72"/>
      <c r="E20" s="2"/>
      <c r="F20" s="2">
        <f>17500*350</f>
        <v>6125000</v>
      </c>
      <c r="G20" s="2">
        <f t="shared" ref="G20:I20" si="3">17500*350</f>
        <v>6125000</v>
      </c>
      <c r="H20" s="2">
        <f t="shared" si="3"/>
        <v>6125000</v>
      </c>
      <c r="I20" s="2">
        <f t="shared" si="3"/>
        <v>6125000</v>
      </c>
      <c r="J20" s="2"/>
      <c r="K20" s="2"/>
      <c r="L20" s="2"/>
      <c r="M20" s="2"/>
      <c r="N20" s="2"/>
    </row>
    <row r="22" spans="1:15" x14ac:dyDescent="0.25">
      <c r="A22" s="69" t="s">
        <v>192</v>
      </c>
      <c r="B22" s="69"/>
      <c r="D22" s="33">
        <v>50</v>
      </c>
      <c r="E22" s="33">
        <f>+D22*(1+$B$23)</f>
        <v>50.5</v>
      </c>
      <c r="F22" s="33">
        <f t="shared" ref="F22:N22" si="4">+E22*(1+$B$23)</f>
        <v>51.005000000000003</v>
      </c>
      <c r="G22" s="33">
        <f t="shared" si="4"/>
        <v>51.515050000000002</v>
      </c>
      <c r="H22" s="33">
        <f t="shared" si="4"/>
        <v>52.030200499999999</v>
      </c>
      <c r="I22" s="33">
        <f t="shared" si="4"/>
        <v>52.550502504999997</v>
      </c>
      <c r="J22" s="33">
        <f t="shared" si="4"/>
        <v>53.076007530049999</v>
      </c>
      <c r="K22" s="33">
        <f t="shared" si="4"/>
        <v>53.606767605350498</v>
      </c>
      <c r="L22" s="33">
        <f t="shared" si="4"/>
        <v>54.142835281404004</v>
      </c>
      <c r="M22" s="33">
        <f t="shared" si="4"/>
        <v>54.684263634218041</v>
      </c>
      <c r="N22" s="33">
        <f t="shared" si="4"/>
        <v>55.231106270560225</v>
      </c>
    </row>
    <row r="23" spans="1:15" x14ac:dyDescent="0.25">
      <c r="A23" s="72" t="s">
        <v>182</v>
      </c>
      <c r="B23" s="29">
        <v>0.01</v>
      </c>
    </row>
    <row r="25" spans="1:15" x14ac:dyDescent="0.25">
      <c r="A25" s="72" t="s">
        <v>193</v>
      </c>
      <c r="B25" s="72"/>
      <c r="E25" s="30">
        <v>220000000</v>
      </c>
      <c r="F25" s="30">
        <f>+(F22+F26)*F18</f>
        <v>153015000</v>
      </c>
      <c r="G25" s="30">
        <f>+(G22+G26)*G18</f>
        <v>378635617.5</v>
      </c>
      <c r="H25" s="30">
        <f t="shared" ref="H25:N25" si="5">+(H22+H26)*H18</f>
        <v>538512575.17499995</v>
      </c>
      <c r="I25" s="30">
        <f t="shared" si="5"/>
        <v>346833316.53299999</v>
      </c>
      <c r="J25" s="30">
        <f t="shared" si="5"/>
        <v>350301649.69832999</v>
      </c>
      <c r="K25" s="30">
        <f t="shared" si="5"/>
        <v>353804666.19531327</v>
      </c>
      <c r="L25" s="30">
        <f t="shared" si="5"/>
        <v>162428505.844212</v>
      </c>
      <c r="M25" s="30">
        <f t="shared" si="5"/>
        <v>164052790.90265411</v>
      </c>
      <c r="N25" s="30">
        <f t="shared" si="5"/>
        <v>82846659.405840337</v>
      </c>
      <c r="O25" s="30">
        <f>+SUM(E25:N25)</f>
        <v>2750430781.2543497</v>
      </c>
    </row>
    <row r="26" spans="1:15" x14ac:dyDescent="0.25">
      <c r="A26" s="72" t="s">
        <v>194</v>
      </c>
      <c r="B26" s="29">
        <v>0.01</v>
      </c>
      <c r="D26" s="33">
        <v>25</v>
      </c>
      <c r="E26" s="33">
        <f>+D26*(1+$B$26)</f>
        <v>25.25</v>
      </c>
      <c r="F26" s="33">
        <f t="shared" ref="F26:N26" si="6">+E26*(1+$B$26)</f>
        <v>25.502500000000001</v>
      </c>
      <c r="G26" s="33">
        <f t="shared" si="6"/>
        <v>25.757525000000001</v>
      </c>
      <c r="H26" s="33">
        <f t="shared" si="6"/>
        <v>26.01510025</v>
      </c>
      <c r="I26" s="33">
        <f t="shared" si="6"/>
        <v>26.275251252499999</v>
      </c>
      <c r="J26" s="33">
        <f t="shared" si="6"/>
        <v>26.538003765025</v>
      </c>
      <c r="K26" s="33">
        <f t="shared" si="6"/>
        <v>26.803383802675249</v>
      </c>
      <c r="L26" s="33">
        <f t="shared" si="6"/>
        <v>27.071417640702002</v>
      </c>
      <c r="M26" s="33">
        <f t="shared" si="6"/>
        <v>27.342131817109021</v>
      </c>
      <c r="N26" s="33">
        <f t="shared" si="6"/>
        <v>27.615553135280113</v>
      </c>
      <c r="O26" s="33">
        <f>+O25/100*0.295</f>
        <v>8113770.8047003308</v>
      </c>
    </row>
    <row r="27" spans="1:15" x14ac:dyDescent="0.25">
      <c r="A27" s="72" t="s">
        <v>195</v>
      </c>
      <c r="B27" s="72"/>
      <c r="F27" s="2">
        <v>100000000</v>
      </c>
      <c r="G27" s="2"/>
      <c r="J27" s="2"/>
    </row>
    <row r="28" spans="1:15" x14ac:dyDescent="0.25">
      <c r="A28" s="72"/>
      <c r="B28" s="72"/>
      <c r="F28" s="2"/>
      <c r="G28" s="2"/>
      <c r="J28" s="2"/>
    </row>
    <row r="29" spans="1:15" x14ac:dyDescent="0.25">
      <c r="E29" s="1">
        <f>+E10+E18+E20+E25+E27</f>
        <v>469400000</v>
      </c>
      <c r="F29" s="1">
        <f t="shared" ref="F29:N29" si="7">+F10+F18+F20+F25+F27</f>
        <v>432535999.99999994</v>
      </c>
      <c r="G29" s="1">
        <f t="shared" si="7"/>
        <v>567055477.5</v>
      </c>
      <c r="H29" s="1">
        <f t="shared" si="7"/>
        <v>735141255.27499986</v>
      </c>
      <c r="I29" s="1">
        <f t="shared" si="7"/>
        <v>547388125.43649983</v>
      </c>
      <c r="J29" s="1">
        <f t="shared" si="7"/>
        <v>551382501.91345239</v>
      </c>
      <c r="K29" s="1">
        <f t="shared" si="7"/>
        <v>358204666.19531327</v>
      </c>
      <c r="L29" s="1">
        <f t="shared" si="7"/>
        <v>164428505.844212</v>
      </c>
      <c r="M29" s="1">
        <f t="shared" si="7"/>
        <v>166052790.90265411</v>
      </c>
      <c r="N29" s="1">
        <f t="shared" si="7"/>
        <v>83846659.405840337</v>
      </c>
    </row>
    <row r="30" spans="1:15" x14ac:dyDescent="0.25">
      <c r="A30" s="14" t="s">
        <v>196</v>
      </c>
      <c r="B30" s="3"/>
      <c r="E30" s="33">
        <f>+E29/100*0.295</f>
        <v>1384730</v>
      </c>
      <c r="F30" s="33">
        <f t="shared" ref="F30:N30" si="8">+F29/100*0.295</f>
        <v>1275981.1999999997</v>
      </c>
      <c r="G30" s="33">
        <f t="shared" si="8"/>
        <v>1672813.6586249999</v>
      </c>
      <c r="H30" s="33">
        <f t="shared" si="8"/>
        <v>2168666.7030612496</v>
      </c>
      <c r="I30" s="33">
        <f t="shared" si="8"/>
        <v>1614794.9700376743</v>
      </c>
      <c r="J30" s="33">
        <f t="shared" si="8"/>
        <v>1626578.3806446847</v>
      </c>
      <c r="K30" s="33">
        <f t="shared" si="8"/>
        <v>1056703.7652761741</v>
      </c>
      <c r="L30" s="33">
        <f t="shared" si="8"/>
        <v>485064.09224042535</v>
      </c>
      <c r="M30" s="33">
        <f t="shared" si="8"/>
        <v>489855.73316282959</v>
      </c>
      <c r="N30" s="33">
        <f t="shared" si="8"/>
        <v>247347.645247229</v>
      </c>
    </row>
    <row r="32" spans="1:15" x14ac:dyDescent="0.25">
      <c r="A32" s="64" t="s">
        <v>197</v>
      </c>
      <c r="B32" s="64"/>
    </row>
    <row r="33" spans="1:14" x14ac:dyDescent="0.25">
      <c r="A33" t="s">
        <v>198</v>
      </c>
      <c r="B33" s="71">
        <v>3.5000000000000003E-2</v>
      </c>
      <c r="D33" s="2">
        <v>900000000</v>
      </c>
      <c r="E33" s="2">
        <f t="shared" ref="E33:N33" si="9">+D33*(1+$B$33)+E10</f>
        <v>1179899999.9999998</v>
      </c>
      <c r="F33" s="2">
        <f t="shared" si="9"/>
        <v>1392592499.9999998</v>
      </c>
      <c r="G33" s="2">
        <f t="shared" si="9"/>
        <v>1618728097.4999995</v>
      </c>
      <c r="H33" s="2">
        <f t="shared" si="9"/>
        <v>1858987261.0124993</v>
      </c>
      <c r="I33" s="2">
        <f t="shared" si="9"/>
        <v>2114081624.0514364</v>
      </c>
      <c r="J33" s="2">
        <f t="shared" si="9"/>
        <v>2384755333.1083589</v>
      </c>
      <c r="K33" s="2">
        <f t="shared" si="9"/>
        <v>2468221769.7671514</v>
      </c>
      <c r="L33" s="2">
        <f t="shared" si="9"/>
        <v>2554609531.7090015</v>
      </c>
      <c r="M33" s="2">
        <f t="shared" si="9"/>
        <v>2644020865.3188162</v>
      </c>
      <c r="N33" s="2">
        <f t="shared" si="9"/>
        <v>2736561595.6049747</v>
      </c>
    </row>
    <row r="34" spans="1:14" x14ac:dyDescent="0.25">
      <c r="A34" t="s">
        <v>199</v>
      </c>
      <c r="B34" s="70">
        <f>0.05</f>
        <v>0.05</v>
      </c>
      <c r="D34" s="2">
        <v>23900000</v>
      </c>
      <c r="E34" s="2">
        <f>+D34*(1+$B$34)</f>
        <v>25095000</v>
      </c>
      <c r="F34" s="2">
        <f t="shared" ref="F34:N34" si="10">+E34*(1+$B$34)</f>
        <v>26349750</v>
      </c>
      <c r="G34" s="2">
        <f t="shared" si="10"/>
        <v>27667237.5</v>
      </c>
      <c r="H34" s="2">
        <f t="shared" si="10"/>
        <v>29050599.375</v>
      </c>
      <c r="I34" s="2">
        <f t="shared" si="10"/>
        <v>30503129.34375</v>
      </c>
      <c r="J34" s="2">
        <f t="shared" si="10"/>
        <v>32028285.810937501</v>
      </c>
      <c r="K34" s="2">
        <f t="shared" si="10"/>
        <v>33629700.101484381</v>
      </c>
      <c r="L34" s="2">
        <f t="shared" si="10"/>
        <v>35311185.106558599</v>
      </c>
      <c r="M34" s="2">
        <f t="shared" si="10"/>
        <v>37076744.361886531</v>
      </c>
      <c r="N34" s="2">
        <f t="shared" si="10"/>
        <v>38930581.579980858</v>
      </c>
    </row>
    <row r="36" spans="1:14" x14ac:dyDescent="0.25">
      <c r="A36" t="s">
        <v>179</v>
      </c>
      <c r="B36" s="70">
        <v>0.05</v>
      </c>
      <c r="D36" s="2">
        <v>180000000</v>
      </c>
      <c r="E36" s="2">
        <v>230000000</v>
      </c>
      <c r="F36" s="2">
        <f t="shared" ref="F36:N36" si="11">+(E36*(1+$B$36))+F27</f>
        <v>341500000</v>
      </c>
      <c r="G36" s="2">
        <f t="shared" si="11"/>
        <v>358575000</v>
      </c>
      <c r="H36" s="2">
        <f t="shared" si="11"/>
        <v>376503750</v>
      </c>
      <c r="I36" s="2">
        <f t="shared" si="11"/>
        <v>395328937.5</v>
      </c>
      <c r="J36" s="2">
        <f t="shared" si="11"/>
        <v>415095384.375</v>
      </c>
      <c r="K36" s="2">
        <f t="shared" si="11"/>
        <v>435850153.59375</v>
      </c>
      <c r="L36" s="2">
        <f t="shared" si="11"/>
        <v>457642661.2734375</v>
      </c>
      <c r="M36" s="2">
        <f t="shared" si="11"/>
        <v>480524794.33710939</v>
      </c>
      <c r="N36" s="2">
        <f t="shared" si="11"/>
        <v>504551034.05396485</v>
      </c>
    </row>
    <row r="38" spans="1:14" x14ac:dyDescent="0.25">
      <c r="A38" t="s">
        <v>200</v>
      </c>
      <c r="B38" s="70">
        <f>+B23</f>
        <v>0.01</v>
      </c>
      <c r="D38" s="2">
        <v>405000000</v>
      </c>
      <c r="E38" s="2">
        <f>+D38+180000000+E25</f>
        <v>805000000</v>
      </c>
      <c r="F38" s="2">
        <f>+(E38*(1+$B$38))+F25+F20</f>
        <v>972190000</v>
      </c>
      <c r="G38" s="2">
        <f>+(F38*(1+$B$38))+G25+G20</f>
        <v>1366672517.5</v>
      </c>
      <c r="H38" s="2">
        <f>+(G38*(1+$B$38))+H25+H20</f>
        <v>1924976817.8499999</v>
      </c>
      <c r="I38" s="2">
        <f>+(H38*(1+$B$38))+I25+I20</f>
        <v>2297184902.5614996</v>
      </c>
      <c r="J38" s="2">
        <f>+(I38*(1+$B$38))+J25</f>
        <v>2670458401.2854447</v>
      </c>
      <c r="K38" s="2">
        <f>+(J38*(1+$B$38))+K25</f>
        <v>3050967651.4936128</v>
      </c>
      <c r="L38" s="2">
        <f>+(K38*(1+$B$38))+L25</f>
        <v>3243905833.8527608</v>
      </c>
      <c r="M38" s="2">
        <f>+(L38*(1+$B$38))+M25</f>
        <v>3440397683.0939426</v>
      </c>
      <c r="N38" s="2">
        <f>+(M38*(1+$B$38))+N25</f>
        <v>3557648319.3307223</v>
      </c>
    </row>
    <row r="39" spans="1:14" x14ac:dyDescent="0.25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t="s">
        <v>194</v>
      </c>
      <c r="D40" s="2">
        <v>206000000</v>
      </c>
      <c r="E40" s="2">
        <f t="shared" ref="E40:N40" si="12">+D40+(E18*E26)</f>
        <v>231250000</v>
      </c>
      <c r="F40" s="2">
        <f t="shared" si="12"/>
        <v>282255000</v>
      </c>
      <c r="G40" s="2">
        <f t="shared" si="12"/>
        <v>408466872.5</v>
      </c>
      <c r="H40" s="2">
        <f t="shared" si="12"/>
        <v>587971064.22500002</v>
      </c>
      <c r="I40" s="2">
        <f t="shared" si="12"/>
        <v>703582169.73600006</v>
      </c>
      <c r="J40" s="2">
        <f t="shared" si="12"/>
        <v>820349386.30211008</v>
      </c>
      <c r="K40" s="2">
        <f t="shared" si="12"/>
        <v>938284275.03388119</v>
      </c>
      <c r="L40" s="2">
        <f t="shared" si="12"/>
        <v>992427110.31528521</v>
      </c>
      <c r="M40" s="2">
        <f t="shared" si="12"/>
        <v>1047111373.9495033</v>
      </c>
      <c r="N40" s="2">
        <f t="shared" si="12"/>
        <v>1074726927.0847833</v>
      </c>
    </row>
    <row r="41" spans="1:14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t="s">
        <v>201</v>
      </c>
      <c r="B42" s="70">
        <f>+B38</f>
        <v>0.01</v>
      </c>
      <c r="D42" s="2">
        <v>233000000</v>
      </c>
      <c r="E42" s="2">
        <f>+D42*(1+$B$42)</f>
        <v>235330000</v>
      </c>
      <c r="F42" s="2">
        <f t="shared" ref="F42:N42" si="13">+E42*(1+$B$42)</f>
        <v>237683300</v>
      </c>
      <c r="G42" s="2">
        <f t="shared" si="13"/>
        <v>240060133</v>
      </c>
      <c r="H42" s="2">
        <f t="shared" si="13"/>
        <v>242460734.33000001</v>
      </c>
      <c r="I42" s="2">
        <f t="shared" si="13"/>
        <v>244885341.67330003</v>
      </c>
      <c r="J42" s="2">
        <f t="shared" si="13"/>
        <v>247334195.09003302</v>
      </c>
      <c r="K42" s="2">
        <f t="shared" si="13"/>
        <v>249807537.04093337</v>
      </c>
      <c r="L42" s="2">
        <f t="shared" si="13"/>
        <v>252305612.41134271</v>
      </c>
      <c r="M42" s="2">
        <f t="shared" si="13"/>
        <v>254828668.53545615</v>
      </c>
      <c r="N42" s="2">
        <f t="shared" si="13"/>
        <v>257376955.22081071</v>
      </c>
    </row>
    <row r="44" spans="1:14" x14ac:dyDescent="0.25">
      <c r="A44" s="69" t="s">
        <v>202</v>
      </c>
      <c r="B44" s="69"/>
      <c r="C44" s="2">
        <v>1486252461</v>
      </c>
      <c r="D44" s="30">
        <f t="shared" ref="D44:N44" si="14">SUM(D33:D43)</f>
        <v>1947900000</v>
      </c>
      <c r="E44" s="30">
        <f>SUM(E33:E43)</f>
        <v>2706575000</v>
      </c>
      <c r="F44" s="30">
        <f>SUM(F33:F43)</f>
        <v>3252570550</v>
      </c>
      <c r="G44" s="30">
        <f t="shared" si="14"/>
        <v>4020169857.9999995</v>
      </c>
      <c r="H44" s="30">
        <f t="shared" si="14"/>
        <v>5019950226.7924995</v>
      </c>
      <c r="I44" s="30">
        <f t="shared" si="14"/>
        <v>5785566104.8659859</v>
      </c>
      <c r="J44" s="30">
        <f t="shared" si="14"/>
        <v>6570020985.9718828</v>
      </c>
      <c r="K44" s="30">
        <f t="shared" si="14"/>
        <v>7176761087.0308132</v>
      </c>
      <c r="L44" s="30">
        <f t="shared" si="14"/>
        <v>7536201934.6683865</v>
      </c>
      <c r="M44" s="30">
        <f t="shared" si="14"/>
        <v>7903960129.596714</v>
      </c>
      <c r="N44" s="30">
        <f t="shared" si="14"/>
        <v>8169795412.8752375</v>
      </c>
    </row>
    <row r="45" spans="1:14" x14ac:dyDescent="0.25">
      <c r="A45" t="s">
        <v>203</v>
      </c>
      <c r="D45" s="10">
        <f t="shared" ref="D45:N45" si="15">+(D44-C44)/C44</f>
        <v>0.31061179114172044</v>
      </c>
      <c r="E45" s="10">
        <f>+(E44-D44)/D44</f>
        <v>0.38948354638328458</v>
      </c>
      <c r="F45" s="10">
        <f t="shared" si="15"/>
        <v>0.20172932580844793</v>
      </c>
      <c r="G45" s="10">
        <f t="shared" si="15"/>
        <v>0.23599774276994531</v>
      </c>
      <c r="H45" s="10">
        <f t="shared" si="15"/>
        <v>0.24869107627454384</v>
      </c>
      <c r="I45" s="10">
        <f t="shared" si="15"/>
        <v>0.15251463530200718</v>
      </c>
      <c r="J45" s="10">
        <f t="shared" si="15"/>
        <v>0.13558826688474379</v>
      </c>
      <c r="K45" s="10">
        <f t="shared" si="15"/>
        <v>9.2349796500562811E-2</v>
      </c>
      <c r="L45" s="10">
        <f t="shared" si="15"/>
        <v>5.0083992385802266E-2</v>
      </c>
      <c r="M45" s="10">
        <f t="shared" si="15"/>
        <v>4.879887748715294E-2</v>
      </c>
      <c r="N45" s="10">
        <f t="shared" si="15"/>
        <v>3.3633176144587565E-2</v>
      </c>
    </row>
    <row r="46" spans="1:14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idden="1" x14ac:dyDescent="0.25">
      <c r="A47" t="s">
        <v>204</v>
      </c>
      <c r="D47" s="2">
        <v>375000000</v>
      </c>
      <c r="E47" s="2">
        <f>+D47*1.035</f>
        <v>388124999.99999994</v>
      </c>
      <c r="F47" s="2">
        <f t="shared" ref="F47:N47" si="16">+E47*1.035</f>
        <v>401709374.99999988</v>
      </c>
      <c r="G47" s="2">
        <f t="shared" si="16"/>
        <v>415769203.12499982</v>
      </c>
      <c r="H47" s="2">
        <f t="shared" si="16"/>
        <v>430321125.23437476</v>
      </c>
      <c r="I47" s="2">
        <f t="shared" si="16"/>
        <v>445382364.61757785</v>
      </c>
      <c r="J47" s="2">
        <f t="shared" si="16"/>
        <v>460970747.37919307</v>
      </c>
      <c r="K47" s="2">
        <f t="shared" si="16"/>
        <v>477104723.5374648</v>
      </c>
      <c r="L47" s="2">
        <f t="shared" si="16"/>
        <v>493803388.86127603</v>
      </c>
      <c r="M47" s="2">
        <f t="shared" si="16"/>
        <v>511086507.47142065</v>
      </c>
      <c r="N47" s="2">
        <f t="shared" si="16"/>
        <v>528974535.23292035</v>
      </c>
    </row>
    <row r="48" spans="1:14" hidden="1" x14ac:dyDescent="0.25">
      <c r="A48" t="s">
        <v>205</v>
      </c>
      <c r="B48" s="52">
        <v>9.0899999999999995E-2</v>
      </c>
      <c r="D48" s="6">
        <f t="shared" ref="D48:N48" si="17">+D47/100*$B$48</f>
        <v>340875</v>
      </c>
      <c r="E48" s="6">
        <f t="shared" si="17"/>
        <v>352805.62499999994</v>
      </c>
      <c r="F48" s="6">
        <f t="shared" si="17"/>
        <v>365153.82187499985</v>
      </c>
      <c r="G48" s="6">
        <f t="shared" si="17"/>
        <v>377934.2056406248</v>
      </c>
      <c r="H48" s="6">
        <f t="shared" si="17"/>
        <v>391161.90283804666</v>
      </c>
      <c r="I48" s="6">
        <f t="shared" si="17"/>
        <v>404852.56943737826</v>
      </c>
      <c r="J48" s="6">
        <f t="shared" si="17"/>
        <v>419022.40936768649</v>
      </c>
      <c r="K48" s="6">
        <f t="shared" si="17"/>
        <v>433688.1936955555</v>
      </c>
      <c r="L48" s="6">
        <f t="shared" si="17"/>
        <v>448867.28047489986</v>
      </c>
      <c r="M48" s="6">
        <f t="shared" si="17"/>
        <v>464577.63529152132</v>
      </c>
      <c r="N48" s="6">
        <f t="shared" si="17"/>
        <v>480837.85252672463</v>
      </c>
    </row>
    <row r="49" spans="1:31" hidden="1" x14ac:dyDescent="0.25">
      <c r="B49" s="52"/>
    </row>
    <row r="50" spans="1:31" hidden="1" x14ac:dyDescent="0.25">
      <c r="A50" t="s">
        <v>206</v>
      </c>
      <c r="B50" s="52">
        <f>+'Tax Rate Dashboard'!D6</f>
        <v>0.13124190994936796</v>
      </c>
      <c r="D50" s="6">
        <f t="shared" ref="D50:N50" si="18">+(D44/100*$B$50)-(D48/2)</f>
        <v>2386023.6639037384</v>
      </c>
      <c r="E50" s="6">
        <f t="shared" si="18"/>
        <v>3375757.9117121059</v>
      </c>
      <c r="F50" s="6">
        <f t="shared" si="18"/>
        <v>4086158.8013331625</v>
      </c>
      <c r="G50" s="6">
        <f t="shared" si="18"/>
        <v>5087180.6020276807</v>
      </c>
      <c r="H50" s="6">
        <f t="shared" si="18"/>
        <v>6392697.6047310811</v>
      </c>
      <c r="I50" s="6">
        <f t="shared" si="18"/>
        <v>7390661.172690684</v>
      </c>
      <c r="J50" s="6">
        <f t="shared" si="18"/>
        <v>8413109.8213799521</v>
      </c>
      <c r="K50" s="6">
        <f t="shared" si="18"/>
        <v>9202074.2262744829</v>
      </c>
      <c r="L50" s="6">
        <f t="shared" si="18"/>
        <v>9666221.7164625581</v>
      </c>
      <c r="M50" s="6">
        <f t="shared" si="18"/>
        <v>10141019.418073507</v>
      </c>
      <c r="N50" s="6">
        <f t="shared" si="18"/>
        <v>10481776.612549953</v>
      </c>
    </row>
    <row r="51" spans="1:31" hidden="1" x14ac:dyDescent="0.25">
      <c r="A51" t="s">
        <v>109</v>
      </c>
      <c r="B51" s="74">
        <f>0.295-B50</f>
        <v>0.16375809005063202</v>
      </c>
      <c r="D51" s="6">
        <f>+(D44/100*$B$51)-(D48/2)</f>
        <v>3019406.3360962612</v>
      </c>
      <c r="E51" s="6">
        <f t="shared" ref="E51:N51" si="19">+(E44/100*$B$51)-(E48/2)</f>
        <v>4255832.7132878937</v>
      </c>
      <c r="F51" s="6">
        <f t="shared" si="19"/>
        <v>5143770.4992918372</v>
      </c>
      <c r="G51" s="6">
        <f t="shared" si="19"/>
        <v>6394386.2734316923</v>
      </c>
      <c r="H51" s="6">
        <f t="shared" si="19"/>
        <v>8024993.6614687443</v>
      </c>
      <c r="I51" s="6">
        <f t="shared" si="19"/>
        <v>9271906.2672265973</v>
      </c>
      <c r="J51" s="6">
        <f t="shared" si="19"/>
        <v>10549429.677869413</v>
      </c>
      <c r="K51" s="6">
        <f t="shared" si="19"/>
        <v>11535682.786770858</v>
      </c>
      <c r="L51" s="6">
        <f t="shared" si="19"/>
        <v>12116706.710334277</v>
      </c>
      <c r="M51" s="6">
        <f t="shared" si="19"/>
        <v>12711085.328945279</v>
      </c>
      <c r="N51" s="6">
        <f t="shared" si="19"/>
        <v>13138282.002905274</v>
      </c>
    </row>
    <row r="52" spans="1:31" hidden="1" x14ac:dyDescent="0.25">
      <c r="B52" s="52">
        <f>SUM(B50:B51)</f>
        <v>0.29499999999999998</v>
      </c>
      <c r="O52">
        <v>2034</v>
      </c>
      <c r="P52">
        <v>2035</v>
      </c>
      <c r="Q52">
        <v>2036</v>
      </c>
    </row>
    <row r="53" spans="1:31" hidden="1" x14ac:dyDescent="0.25">
      <c r="C53">
        <v>2022</v>
      </c>
      <c r="D53">
        <v>2023</v>
      </c>
      <c r="E53">
        <v>2024</v>
      </c>
      <c r="F53">
        <v>2025</v>
      </c>
      <c r="G53">
        <v>2026</v>
      </c>
      <c r="H53">
        <v>2027</v>
      </c>
      <c r="I53">
        <v>2028</v>
      </c>
      <c r="J53">
        <v>2029</v>
      </c>
      <c r="K53">
        <v>2030</v>
      </c>
      <c r="L53">
        <v>2031</v>
      </c>
      <c r="M53">
        <v>2032</v>
      </c>
      <c r="N53">
        <v>2033</v>
      </c>
      <c r="R53">
        <v>2037</v>
      </c>
      <c r="S53">
        <v>2038</v>
      </c>
      <c r="T53">
        <v>2039</v>
      </c>
      <c r="U53">
        <v>2040</v>
      </c>
      <c r="V53">
        <v>2041</v>
      </c>
      <c r="W53">
        <v>2042</v>
      </c>
      <c r="X53">
        <v>2043</v>
      </c>
      <c r="Y53">
        <v>2044</v>
      </c>
      <c r="Z53">
        <v>2045</v>
      </c>
      <c r="AA53">
        <v>2046</v>
      </c>
      <c r="AB53">
        <v>2047</v>
      </c>
      <c r="AC53">
        <v>2048</v>
      </c>
      <c r="AD53">
        <v>2049</v>
      </c>
      <c r="AE53">
        <v>2050</v>
      </c>
    </row>
    <row r="54" spans="1:31" hidden="1" x14ac:dyDescent="0.25"/>
    <row r="55" spans="1:31" hidden="1" x14ac:dyDescent="0.25">
      <c r="A55" t="s">
        <v>197</v>
      </c>
      <c r="D55" s="30">
        <f>+SUM(D33:D34)</f>
        <v>923900000</v>
      </c>
      <c r="E55" s="30">
        <f t="shared" ref="E55:N55" si="20">+SUM(E33:E34)</f>
        <v>1204994999.9999998</v>
      </c>
      <c r="F55" s="30">
        <f t="shared" si="20"/>
        <v>1418942249.9999998</v>
      </c>
      <c r="G55" s="30">
        <f t="shared" si="20"/>
        <v>1646395334.9999995</v>
      </c>
      <c r="H55" s="30">
        <f t="shared" si="20"/>
        <v>1888037860.3874993</v>
      </c>
      <c r="I55" s="30">
        <f t="shared" si="20"/>
        <v>2144584753.3951864</v>
      </c>
      <c r="J55" s="30">
        <f t="shared" si="20"/>
        <v>2416783618.9192963</v>
      </c>
      <c r="K55" s="30">
        <f t="shared" si="20"/>
        <v>2501851469.8686357</v>
      </c>
      <c r="L55" s="30">
        <f t="shared" si="20"/>
        <v>2589920716.8155603</v>
      </c>
      <c r="M55" s="30">
        <f t="shared" si="20"/>
        <v>2681097609.6807027</v>
      </c>
      <c r="N55" s="30">
        <f t="shared" si="20"/>
        <v>2775492177.1849556</v>
      </c>
    </row>
    <row r="56" spans="1:31" hidden="1" x14ac:dyDescent="0.25">
      <c r="A56" t="s">
        <v>207</v>
      </c>
      <c r="D56" s="30">
        <f>+SUM(D36:D42)-D57</f>
        <v>1024000000</v>
      </c>
      <c r="E56" s="30">
        <f>+SUM(E36:E42)</f>
        <v>1501580000</v>
      </c>
      <c r="F56" s="30">
        <f t="shared" ref="F56:N56" si="21">+SUM(F36:F42)</f>
        <v>1833628300</v>
      </c>
      <c r="G56" s="30">
        <f t="shared" si="21"/>
        <v>2373774523</v>
      </c>
      <c r="H56" s="30">
        <f t="shared" si="21"/>
        <v>3131912366.4049997</v>
      </c>
      <c r="I56" s="30">
        <f t="shared" si="21"/>
        <v>3640981351.4707994</v>
      </c>
      <c r="J56" s="30">
        <f t="shared" si="21"/>
        <v>4153237367.052588</v>
      </c>
      <c r="K56" s="30">
        <f t="shared" si="21"/>
        <v>4674909617.162178</v>
      </c>
      <c r="L56" s="30">
        <f t="shared" si="21"/>
        <v>4946281217.8528261</v>
      </c>
      <c r="M56" s="30">
        <f t="shared" si="21"/>
        <v>5222862519.9160109</v>
      </c>
      <c r="N56" s="30">
        <f t="shared" si="21"/>
        <v>5394303235.6902819</v>
      </c>
    </row>
    <row r="57" spans="1:31" hidden="1" x14ac:dyDescent="0.25">
      <c r="A57" t="s">
        <v>208</v>
      </c>
      <c r="E57" s="2">
        <v>1400000</v>
      </c>
      <c r="F57" s="2">
        <v>1400000</v>
      </c>
      <c r="G57" s="2">
        <v>3800000</v>
      </c>
      <c r="H57" s="2">
        <v>3800000</v>
      </c>
      <c r="I57" s="2">
        <v>3800000</v>
      </c>
      <c r="J57" s="2">
        <v>3400000</v>
      </c>
      <c r="K57" s="2">
        <v>3400000</v>
      </c>
      <c r="L57" s="2">
        <v>1000000</v>
      </c>
      <c r="M57" s="2">
        <v>1000000</v>
      </c>
      <c r="N57" s="2">
        <v>1000000</v>
      </c>
    </row>
    <row r="58" spans="1:31" hidden="1" x14ac:dyDescent="0.25">
      <c r="O58" s="2">
        <v>5714155908.8570871</v>
      </c>
      <c r="P58" s="2">
        <v>5828439027.0342293</v>
      </c>
      <c r="Q58" s="2">
        <v>5945007807.574914</v>
      </c>
    </row>
    <row r="59" spans="1:31" hidden="1" x14ac:dyDescent="0.25">
      <c r="A59" t="s">
        <v>209</v>
      </c>
      <c r="C59" s="2">
        <v>1506097810</v>
      </c>
      <c r="D59" s="2">
        <v>2000000000</v>
      </c>
      <c r="E59" s="2">
        <v>2400000000</v>
      </c>
      <c r="F59" s="2">
        <v>2880000000</v>
      </c>
      <c r="G59" s="2">
        <v>3456000000</v>
      </c>
      <c r="H59" s="2">
        <v>3974399999.9999995</v>
      </c>
      <c r="I59" s="2">
        <v>4570559999.999999</v>
      </c>
      <c r="J59" s="2">
        <v>5027615999.999999</v>
      </c>
      <c r="K59" s="2">
        <v>5278996799.999999</v>
      </c>
      <c r="L59" s="2">
        <v>5384576735.999999</v>
      </c>
      <c r="M59" s="2">
        <v>5492268270.7199993</v>
      </c>
      <c r="N59" s="2">
        <v>5602113636.1343994</v>
      </c>
      <c r="O59" s="30">
        <f t="shared" ref="F59:AE60" si="22">+O58-SUM(O54:O56)</f>
        <v>5714155908.8570871</v>
      </c>
      <c r="P59" s="30">
        <f t="shared" si="22"/>
        <v>5828439027.0342293</v>
      </c>
      <c r="Q59" s="30">
        <f t="shared" si="22"/>
        <v>5945007807.574914</v>
      </c>
      <c r="R59" s="2">
        <v>6063907963.7264128</v>
      </c>
      <c r="S59" s="2">
        <v>6185186123.0009413</v>
      </c>
      <c r="T59" s="2">
        <v>6308889845.4609604</v>
      </c>
      <c r="U59" s="2">
        <v>6435067642.3701801</v>
      </c>
      <c r="V59" s="2">
        <v>6563768995.2175837</v>
      </c>
      <c r="W59" s="2">
        <v>6695044375.1219358</v>
      </c>
      <c r="X59" s="2">
        <v>6828945262.6243744</v>
      </c>
      <c r="Y59" s="2">
        <v>6965524167.8768616</v>
      </c>
      <c r="Z59" s="2">
        <v>7104834651.2343988</v>
      </c>
      <c r="AA59" s="2">
        <v>7246931344.2590866</v>
      </c>
      <c r="AB59" s="2">
        <v>7391869971.144268</v>
      </c>
      <c r="AC59" s="2">
        <v>7539707370.5671539</v>
      </c>
      <c r="AD59" s="2">
        <v>7690501517.9784975</v>
      </c>
      <c r="AE59" s="2">
        <v>7844311548.338068</v>
      </c>
    </row>
    <row r="60" spans="1:31" hidden="1" x14ac:dyDescent="0.25">
      <c r="E60" s="30">
        <f>+E59-SUM(E55:E57)</f>
        <v>-307975000</v>
      </c>
      <c r="F60" s="30">
        <f t="shared" si="22"/>
        <v>-373970550</v>
      </c>
      <c r="G60" s="30">
        <f t="shared" si="22"/>
        <v>-567969857.99999952</v>
      </c>
      <c r="H60" s="30">
        <f t="shared" si="22"/>
        <v>-1049350226.7925</v>
      </c>
      <c r="I60" s="30">
        <f t="shared" si="22"/>
        <v>-1218806104.8659868</v>
      </c>
      <c r="J60" s="30">
        <f t="shared" si="22"/>
        <v>-1545804985.9718847</v>
      </c>
      <c r="K60" s="30">
        <f t="shared" si="22"/>
        <v>-1901164287.0308142</v>
      </c>
      <c r="L60" s="30">
        <f t="shared" si="22"/>
        <v>-2152625198.6683874</v>
      </c>
      <c r="M60" s="30">
        <f t="shared" si="22"/>
        <v>-2412691858.8767147</v>
      </c>
      <c r="N60" s="30">
        <f t="shared" si="22"/>
        <v>-2568681776.7408381</v>
      </c>
      <c r="R60" s="30">
        <f t="shared" si="22"/>
        <v>6063907963.7264128</v>
      </c>
      <c r="S60" s="30">
        <f t="shared" si="22"/>
        <v>6185186123.0009413</v>
      </c>
      <c r="T60" s="30">
        <f t="shared" si="22"/>
        <v>6308889845.4609604</v>
      </c>
      <c r="U60" s="30">
        <f t="shared" si="22"/>
        <v>6435067642.3701801</v>
      </c>
      <c r="V60" s="30">
        <f t="shared" si="22"/>
        <v>6563768995.2175837</v>
      </c>
      <c r="W60" s="30">
        <f t="shared" si="22"/>
        <v>6695044375.1219358</v>
      </c>
      <c r="X60" s="30">
        <f t="shared" si="22"/>
        <v>6828945262.6243744</v>
      </c>
      <c r="Y60" s="30">
        <f t="shared" si="22"/>
        <v>6965524167.8768616</v>
      </c>
      <c r="Z60" s="30">
        <f t="shared" si="22"/>
        <v>7104834651.2343988</v>
      </c>
      <c r="AA60" s="30">
        <f t="shared" si="22"/>
        <v>7246931344.2590866</v>
      </c>
      <c r="AB60" s="30">
        <f t="shared" si="22"/>
        <v>7391869971.144268</v>
      </c>
      <c r="AC60" s="30">
        <f t="shared" si="22"/>
        <v>7539707370.5671539</v>
      </c>
      <c r="AD60" s="30">
        <f t="shared" si="22"/>
        <v>7690501517.9784975</v>
      </c>
      <c r="AE60" s="30">
        <f t="shared" si="22"/>
        <v>7844311548.338068</v>
      </c>
    </row>
    <row r="61" spans="1:31" hidden="1" x14ac:dyDescent="0.25"/>
    <row r="62" spans="1:31" hidden="1" x14ac:dyDescent="0.25"/>
    <row r="63" spans="1:31" hidden="1" x14ac:dyDescent="0.25"/>
    <row r="64" spans="1:31" hidden="1" x14ac:dyDescent="0.25">
      <c r="D64" s="30">
        <f>+SUM(D36:D42)</f>
        <v>1024000000</v>
      </c>
      <c r="E64" s="30">
        <f>+SUM(E36:E42)</f>
        <v>1501580000</v>
      </c>
      <c r="F64" s="30">
        <f t="shared" ref="F64:N64" si="23">+SUM(F36:F42)</f>
        <v>1833628300</v>
      </c>
      <c r="G64" s="30">
        <f t="shared" si="23"/>
        <v>2373774523</v>
      </c>
      <c r="H64" s="30">
        <f t="shared" si="23"/>
        <v>3131912366.4049997</v>
      </c>
      <c r="I64" s="30">
        <f t="shared" si="23"/>
        <v>3640981351.4707994</v>
      </c>
      <c r="J64" s="30">
        <f t="shared" si="23"/>
        <v>4153237367.052588</v>
      </c>
      <c r="K64" s="30">
        <f t="shared" si="23"/>
        <v>4674909617.162178</v>
      </c>
      <c r="L64" s="30">
        <f t="shared" si="23"/>
        <v>4946281217.8528261</v>
      </c>
      <c r="M64" s="30">
        <f t="shared" si="23"/>
        <v>5222862519.9160109</v>
      </c>
      <c r="N64" s="30">
        <f t="shared" si="23"/>
        <v>5394303235.6902819</v>
      </c>
    </row>
    <row r="65" spans="3:14" x14ac:dyDescent="0.25">
      <c r="E65" s="33">
        <f>+E44*0.117352/100</f>
        <v>3176219.8939999999</v>
      </c>
      <c r="F65" s="33">
        <f>+F44*0.117352/100</f>
        <v>3816956.5918359999</v>
      </c>
      <c r="G65" s="33">
        <f t="shared" ref="G65:N65" si="24">+G44*0.117352/100</f>
        <v>4717749.7317601591</v>
      </c>
      <c r="H65" s="33">
        <f t="shared" si="24"/>
        <v>5891011.9901455343</v>
      </c>
      <c r="I65" s="33">
        <f t="shared" si="24"/>
        <v>6789477.5353823313</v>
      </c>
      <c r="J65" s="33">
        <f t="shared" si="24"/>
        <v>7710051.0274577234</v>
      </c>
      <c r="K65" s="33">
        <f t="shared" si="24"/>
        <v>8422072.6708524004</v>
      </c>
      <c r="L65" s="33">
        <f t="shared" si="24"/>
        <v>8843883.6943720449</v>
      </c>
      <c r="M65" s="33">
        <f t="shared" si="24"/>
        <v>9275455.2912843358</v>
      </c>
      <c r="N65" s="33">
        <f t="shared" si="24"/>
        <v>9587418.312917348</v>
      </c>
    </row>
    <row r="66" spans="3:14" x14ac:dyDescent="0.25">
      <c r="E66">
        <v>3176219.8939999999</v>
      </c>
      <c r="F66">
        <v>3816956.5918359999</v>
      </c>
      <c r="G66">
        <v>4717749.7317601591</v>
      </c>
      <c r="H66">
        <v>5891011.9901455343</v>
      </c>
      <c r="I66">
        <v>6789477.5353823313</v>
      </c>
      <c r="J66">
        <v>7710051.0274577234</v>
      </c>
      <c r="K66">
        <v>8422072.6708524004</v>
      </c>
      <c r="L66">
        <v>8843883.6943720449</v>
      </c>
      <c r="M66">
        <v>9275455.2912843358</v>
      </c>
      <c r="N66">
        <v>9587418.312917348</v>
      </c>
    </row>
    <row r="73" spans="3:14" x14ac:dyDescent="0.25">
      <c r="D73" t="str">
        <f>+D2</f>
        <v>FY2023</v>
      </c>
      <c r="E73" t="str">
        <f t="shared" ref="E73:N73" si="25">+E2</f>
        <v>FY2024</v>
      </c>
      <c r="F73" t="str">
        <f t="shared" si="25"/>
        <v>FY2025</v>
      </c>
      <c r="G73" t="str">
        <f t="shared" si="25"/>
        <v>FY2026</v>
      </c>
      <c r="H73" t="str">
        <f t="shared" si="25"/>
        <v>FY2027</v>
      </c>
      <c r="I73" t="str">
        <f t="shared" si="25"/>
        <v>FY2028</v>
      </c>
      <c r="J73" t="str">
        <f t="shared" si="25"/>
        <v>FY2029</v>
      </c>
      <c r="K73" t="str">
        <f t="shared" si="25"/>
        <v>FY2030</v>
      </c>
      <c r="L73" t="str">
        <f t="shared" si="25"/>
        <v>FY2031</v>
      </c>
      <c r="M73" t="str">
        <f t="shared" si="25"/>
        <v>FY2032</v>
      </c>
      <c r="N73" t="str">
        <f t="shared" si="25"/>
        <v>FY2033</v>
      </c>
    </row>
    <row r="74" spans="3:14" x14ac:dyDescent="0.25">
      <c r="C74" t="s">
        <v>210</v>
      </c>
      <c r="E74" s="38">
        <f>+E25</f>
        <v>220000000</v>
      </c>
      <c r="F74" s="38">
        <f>+E74+F25</f>
        <v>373015000</v>
      </c>
      <c r="G74" s="38">
        <f t="shared" ref="G74:N74" si="26">+F74+G25</f>
        <v>751650617.5</v>
      </c>
      <c r="H74" s="38">
        <f t="shared" si="26"/>
        <v>1290163192.675</v>
      </c>
      <c r="I74" s="38">
        <f t="shared" si="26"/>
        <v>1636996509.2079999</v>
      </c>
      <c r="J74" s="38">
        <f t="shared" si="26"/>
        <v>1987298158.9063299</v>
      </c>
      <c r="K74" s="38">
        <f t="shared" si="26"/>
        <v>2341102825.1016431</v>
      </c>
      <c r="L74" s="38">
        <f t="shared" si="26"/>
        <v>2503531330.9458551</v>
      </c>
      <c r="M74" s="38">
        <f t="shared" si="26"/>
        <v>2667584121.8485093</v>
      </c>
      <c r="N74" s="38">
        <f t="shared" si="26"/>
        <v>2750430781.2543497</v>
      </c>
    </row>
    <row r="75" spans="3:14" x14ac:dyDescent="0.25">
      <c r="C75" t="s">
        <v>207</v>
      </c>
      <c r="D75" s="38">
        <f>+SUM(D36:D42)-D74</f>
        <v>1024000000</v>
      </c>
      <c r="E75" s="38">
        <f>+SUM(E36:E42)-E74</f>
        <v>1281580000</v>
      </c>
      <c r="F75" s="38">
        <f t="shared" ref="F75:N75" si="27">+SUM(F36:F42)-F74</f>
        <v>1460613300</v>
      </c>
      <c r="G75" s="38">
        <f t="shared" si="27"/>
        <v>1622123905.5</v>
      </c>
      <c r="H75" s="38">
        <f t="shared" si="27"/>
        <v>1841749173.7299998</v>
      </c>
      <c r="I75" s="38">
        <f t="shared" si="27"/>
        <v>2003984842.2627995</v>
      </c>
      <c r="J75" s="38">
        <f t="shared" si="27"/>
        <v>2165939208.1462584</v>
      </c>
      <c r="K75" s="38">
        <f t="shared" si="27"/>
        <v>2333806792.060535</v>
      </c>
      <c r="L75" s="38">
        <f t="shared" si="27"/>
        <v>2442749886.906971</v>
      </c>
      <c r="M75" s="38">
        <f t="shared" si="27"/>
        <v>2555278398.0675015</v>
      </c>
      <c r="N75" s="38">
        <f t="shared" si="27"/>
        <v>2643872454.4359322</v>
      </c>
    </row>
    <row r="76" spans="3:14" x14ac:dyDescent="0.25">
      <c r="C76" t="s">
        <v>197</v>
      </c>
      <c r="D76" s="30">
        <f>+SUM(D33:D34)</f>
        <v>923900000</v>
      </c>
      <c r="E76" s="30">
        <f t="shared" ref="E76:N76" si="28">+SUM(E33:E34)</f>
        <v>1204994999.9999998</v>
      </c>
      <c r="F76" s="30">
        <f t="shared" si="28"/>
        <v>1418942249.9999998</v>
      </c>
      <c r="G76" s="30">
        <f t="shared" si="28"/>
        <v>1646395334.9999995</v>
      </c>
      <c r="H76" s="30">
        <f t="shared" si="28"/>
        <v>1888037860.3874993</v>
      </c>
      <c r="I76" s="30">
        <f t="shared" si="28"/>
        <v>2144584753.3951864</v>
      </c>
      <c r="J76" s="30">
        <f t="shared" si="28"/>
        <v>2416783618.9192963</v>
      </c>
      <c r="K76" s="30">
        <f t="shared" si="28"/>
        <v>2501851469.8686357</v>
      </c>
      <c r="L76" s="30">
        <f t="shared" si="28"/>
        <v>2589920716.8155603</v>
      </c>
      <c r="M76" s="30">
        <f t="shared" si="28"/>
        <v>2681097609.6807027</v>
      </c>
      <c r="N76" s="30">
        <f t="shared" si="28"/>
        <v>2775492177.1849556</v>
      </c>
    </row>
    <row r="81" spans="4:14" x14ac:dyDescent="0.25">
      <c r="D81" s="6">
        <f>SUM(D74:D80)</f>
        <v>1947900000</v>
      </c>
      <c r="E81" s="6">
        <f t="shared" ref="E81:N81" si="29">SUM(E74:E80)</f>
        <v>2706575000</v>
      </c>
      <c r="F81" s="6">
        <f t="shared" si="29"/>
        <v>3252570550</v>
      </c>
      <c r="G81" s="6">
        <f t="shared" si="29"/>
        <v>4020169857.9999995</v>
      </c>
      <c r="H81" s="6">
        <f t="shared" si="29"/>
        <v>5019950226.7924995</v>
      </c>
      <c r="I81" s="6">
        <f t="shared" si="29"/>
        <v>5785566104.8659859</v>
      </c>
      <c r="J81" s="6">
        <f t="shared" si="29"/>
        <v>6570020985.9718847</v>
      </c>
      <c r="K81" s="6">
        <f t="shared" si="29"/>
        <v>7176761087.0308132</v>
      </c>
      <c r="L81" s="6">
        <f t="shared" si="29"/>
        <v>7536201934.6683865</v>
      </c>
      <c r="M81" s="6">
        <f t="shared" si="29"/>
        <v>7903960129.596714</v>
      </c>
      <c r="N81" s="6">
        <f t="shared" si="29"/>
        <v>8169795412.8752375</v>
      </c>
    </row>
  </sheetData>
  <mergeCells count="1">
    <mergeCell ref="E1:J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7E12-1A44-4435-BD97-B6EE5E84298E}">
  <dimension ref="A1:D9"/>
  <sheetViews>
    <sheetView workbookViewId="0">
      <selection activeCell="B10" sqref="B10"/>
    </sheetView>
  </sheetViews>
  <sheetFormatPr defaultColWidth="8.85546875" defaultRowHeight="15" x14ac:dyDescent="0.25"/>
  <cols>
    <col min="2" max="3" width="16.28515625" bestFit="1" customWidth="1"/>
    <col min="4" max="4" width="4.42578125" bestFit="1" customWidth="1"/>
  </cols>
  <sheetData>
    <row r="1" spans="1:4" x14ac:dyDescent="0.25">
      <c r="A1" t="s">
        <v>211</v>
      </c>
      <c r="B1">
        <v>2020</v>
      </c>
      <c r="C1">
        <v>2021</v>
      </c>
    </row>
    <row r="2" spans="1:4" x14ac:dyDescent="0.25">
      <c r="B2" s="33">
        <v>260950333</v>
      </c>
      <c r="C2" s="33">
        <v>344134214</v>
      </c>
      <c r="D2" s="29">
        <f>+(C2-57441812-B2)/B2</f>
        <v>9.8647388965010435E-2</v>
      </c>
    </row>
    <row r="4" spans="1:4" x14ac:dyDescent="0.25">
      <c r="B4" s="33">
        <f>+B2*1.035+40000000</f>
        <v>310083594.65499997</v>
      </c>
    </row>
    <row r="5" spans="1:4" x14ac:dyDescent="0.25">
      <c r="B5">
        <v>9.0899999999999995E-2</v>
      </c>
    </row>
    <row r="6" spans="1:4" x14ac:dyDescent="0.25">
      <c r="B6" s="33">
        <f>+B4/100*B5</f>
        <v>281865.98754139495</v>
      </c>
    </row>
    <row r="8" spans="1:4" x14ac:dyDescent="0.25">
      <c r="B8">
        <f>26155+3845</f>
        <v>30000</v>
      </c>
    </row>
    <row r="9" spans="1:4" x14ac:dyDescent="0.25">
      <c r="B9" s="32">
        <f>+B6-B8</f>
        <v>251865.98754139495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4FEF859F5BA4B89A4DC153F9F7047" ma:contentTypeVersion="15" ma:contentTypeDescription="Create a new document." ma:contentTypeScope="" ma:versionID="b5fa590b7f45a361efbe31527972df3a">
  <xsd:schema xmlns:xsd="http://www.w3.org/2001/XMLSchema" xmlns:xs="http://www.w3.org/2001/XMLSchema" xmlns:p="http://schemas.microsoft.com/office/2006/metadata/properties" xmlns:ns2="42d80b5b-9166-41de-9abd-a7089d0244a6" xmlns:ns3="8523a9fe-24b3-4fba-b4b4-99549620bb68" targetNamespace="http://schemas.microsoft.com/office/2006/metadata/properties" ma:root="true" ma:fieldsID="b01e48d6b3b521a7505fc0082122531f" ns2:_="" ns3:_="">
    <xsd:import namespace="42d80b5b-9166-41de-9abd-a7089d0244a6"/>
    <xsd:import namespace="8523a9fe-24b3-4fba-b4b4-99549620bb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0b5b-9166-41de-9abd-a7089d024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edaba5d-021b-47f3-88ae-893c76e4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3a9fe-24b3-4fba-b4b4-99549620bb6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b375bf-7140-4311-8b8b-4d36e8f1518a}" ma:internalName="TaxCatchAll" ma:showField="CatchAllData" ma:web="8523a9fe-24b3-4fba-b4b4-99549620bb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23a9fe-24b3-4fba-b4b4-99549620bb68" xsi:nil="true"/>
    <lcf76f155ced4ddcb4097134ff3c332f xmlns="42d80b5b-9166-41de-9abd-a7089d0244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B405E1-CA28-4280-AAFF-33CAB1EF2EC8}"/>
</file>

<file path=customXml/itemProps2.xml><?xml version="1.0" encoding="utf-8"?>
<ds:datastoreItem xmlns:ds="http://schemas.openxmlformats.org/officeDocument/2006/customXml" ds:itemID="{C56DC23F-97F5-4395-AA1E-98BF29CFF40A}"/>
</file>

<file path=customXml/itemProps3.xml><?xml version="1.0" encoding="utf-8"?>
<ds:datastoreItem xmlns:ds="http://schemas.openxmlformats.org/officeDocument/2006/customXml" ds:itemID="{D572905A-2CA5-4548-9C4E-EB21FBA05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Tax Rate Dashboard</vt:lpstr>
      <vt:lpstr>Calculations &amp; Comparitives</vt:lpstr>
      <vt:lpstr>Exemptions</vt:lpstr>
      <vt:lpstr>Projection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Zagurski</dc:creator>
  <cp:keywords/>
  <dc:description/>
  <cp:lastModifiedBy>John Zagurski</cp:lastModifiedBy>
  <cp:revision/>
  <dcterms:created xsi:type="dcterms:W3CDTF">2021-05-03T13:39:44Z</dcterms:created>
  <dcterms:modified xsi:type="dcterms:W3CDTF">2023-09-15T14:35:49Z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0x010100CE44FEF859F5BA4B89A4DC153F9F7047</vt:lpwstr>
  </property>
</Properties>
</file>